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ex prod pays 2010"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627" i="1"/>
  <c r="B1627"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B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A1078" i="1"/>
  <c r="B1078" i="1"/>
  <c r="A1079" i="1"/>
  <c r="B1079" i="1"/>
  <c r="A1080" i="1"/>
  <c r="B1080" i="1"/>
  <c r="A1081" i="1"/>
  <c r="A1082" i="1"/>
  <c r="B1082" i="1"/>
  <c r="A1083" i="1"/>
  <c r="B1083" i="1"/>
  <c r="A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B1205" i="1"/>
  <c r="A1206" i="1"/>
  <c r="B1206" i="1"/>
  <c r="A1207" i="1"/>
  <c r="B1207" i="1"/>
  <c r="A1208" i="1"/>
  <c r="B1208" i="1"/>
  <c r="A1209" i="1"/>
  <c r="B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A1397" i="1"/>
  <c r="B1397" i="1"/>
  <c r="A1398" i="1"/>
  <c r="B1398" i="1"/>
  <c r="A1399" i="1"/>
  <c r="A1400" i="1"/>
  <c r="B1400" i="1"/>
  <c r="A1401" i="1"/>
  <c r="B1401" i="1"/>
  <c r="A1402" i="1"/>
  <c r="B1402" i="1"/>
  <c r="A1403" i="1"/>
  <c r="B1403" i="1"/>
  <c r="A1404" i="1"/>
  <c r="B1404" i="1"/>
  <c r="A1405" i="1"/>
  <c r="B1405" i="1"/>
  <c r="A1406" i="1"/>
  <c r="B1406" i="1"/>
  <c r="A1407" i="1"/>
  <c r="B1407" i="1"/>
  <c r="A1408" i="1"/>
  <c r="B1408" i="1"/>
  <c r="A1409" i="1"/>
  <c r="B1409" i="1"/>
  <c r="A1410" i="1"/>
  <c r="B1410" i="1"/>
  <c r="A1411" i="1"/>
  <c r="B1411" i="1"/>
  <c r="A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A1436" i="1"/>
  <c r="B1436" i="1"/>
  <c r="A1437" i="1"/>
  <c r="B1437" i="1"/>
  <c r="A1438" i="1"/>
  <c r="B1438" i="1"/>
  <c r="A1439" i="1"/>
  <c r="B1439" i="1"/>
  <c r="A1440" i="1"/>
  <c r="B1440" i="1"/>
  <c r="A1441" i="1"/>
  <c r="A1442" i="1"/>
  <c r="B1442" i="1"/>
  <c r="A1443" i="1"/>
  <c r="B1443" i="1"/>
  <c r="A1444" i="1"/>
  <c r="A1445" i="1"/>
  <c r="B1445" i="1"/>
  <c r="A1446" i="1"/>
  <c r="B1446" i="1"/>
  <c r="A1447" i="1"/>
  <c r="B1447" i="1"/>
  <c r="A1448" i="1"/>
  <c r="B1448" i="1"/>
  <c r="A1449" i="1"/>
  <c r="B1449" i="1"/>
  <c r="A1450" i="1"/>
  <c r="A1451" i="1"/>
  <c r="B1451" i="1"/>
  <c r="A1452" i="1"/>
  <c r="B1452" i="1"/>
  <c r="A1453" i="1"/>
  <c r="B1453" i="1"/>
  <c r="A1454" i="1"/>
  <c r="B1454" i="1"/>
  <c r="A1455" i="1"/>
  <c r="A1456" i="1"/>
  <c r="B1456" i="1"/>
  <c r="A1457" i="1"/>
  <c r="B1457" i="1"/>
  <c r="A1458" i="1"/>
  <c r="B1458" i="1"/>
  <c r="A1459" i="1"/>
  <c r="B1459" i="1"/>
  <c r="A1460" i="1"/>
  <c r="B1460" i="1"/>
  <c r="A1461" i="1"/>
  <c r="B1461" i="1"/>
  <c r="A1462" i="1"/>
  <c r="B1462" i="1"/>
  <c r="A1463" i="1"/>
  <c r="B1463" i="1"/>
  <c r="A1464" i="1"/>
  <c r="B1464" i="1"/>
  <c r="A1465" i="1"/>
  <c r="A1466" i="1"/>
  <c r="B1466" i="1"/>
  <c r="A1467" i="1"/>
  <c r="B1467" i="1"/>
  <c r="A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 r="A1624" i="1"/>
  <c r="B1624" i="1"/>
  <c r="A1625" i="1"/>
  <c r="B1625" i="1"/>
  <c r="A1626" i="1"/>
  <c r="B1626" i="1"/>
</calcChain>
</file>

<file path=xl/sharedStrings.xml><?xml version="1.0" encoding="utf-8"?>
<sst xmlns="http://schemas.openxmlformats.org/spreadsheetml/2006/main" count="32" uniqueCount="32">
  <si>
    <t>Produced:</t>
  </si>
  <si>
    <t>Mois(C):</t>
  </si>
  <si>
    <t>Annee(C):</t>
  </si>
  <si>
    <t>BUREAU(C):</t>
  </si>
  <si>
    <t>SYSCOM(C):</t>
  </si>
  <si>
    <t>FLUX(C):</t>
  </si>
  <si>
    <t>PROVDEST(C):</t>
  </si>
  <si>
    <t>PRODUIT(B):</t>
  </si>
  <si>
    <t>Y Axis (1)</t>
  </si>
  <si>
    <t>PARTENAIRE(B):</t>
  </si>
  <si>
    <t>Y Axis (2)</t>
  </si>
  <si>
    <t>INDICATORS(B):</t>
  </si>
  <si>
    <t>X Axis (1)</t>
  </si>
  <si>
    <t xml:space="preserve">=t("BOIS, Y.C. LES LAMES ET FRISES POUR PARQUETS, NON-ASSEMBLÉES, PROFILÉS "LANGUETÉS, RAINÉS, BOUVETÉS, FEUILLURÉS, CHANFREINÉS, JOINTS EN V, MOULURÉS, ARRONDIS OU SIMIL." TOUT AU LONG D'UNE OU DE PLUSIEURS RIVES, FACES OU BOUTS, MÊME RABOTÉS, PONCÉS OU </t>
  </si>
  <si>
    <t>=t("MOTEURS HORS-BORD À ALLUMAGE PAR ÉTINCELLES "MOTEURS À EXPLOSION" POUR LA PROPULSION DE BATEAUX")</t>
  </si>
  <si>
    <t>=t("MOTEURS À PISTON ALTERNATIF OU ROTATIF, À ALLUMAGE PAR ÉTINCELLES "MOTEURS À EXPLOSION" (AUTRES QUE MOTEURS POUR AÉRONEFS, MOTEURS POUR LA PROPULSION DE BATEAUX ET AUTRES QUE LES MOTEURS À PISTON ALTERNATIF DES TYPES UTILISÉS POUR LA PROPULSION DES VÉ</t>
  </si>
  <si>
    <t>=t("MOTEURS À PISTON, À ALLUMAGE PAR COMPRESSION "MOTEURS DIESEL OU SEMI-DIESEL" (AUTRES QUE MOTEURS DE PROPULSION POUR BATEAUX ET SAUF MOTEURS DES TYPES UTILISÉS POUR LA PROPULSION DES VÉHICULES DU CHAPITRE 87)")</t>
  </si>
  <si>
    <t>=t("MACHINES ET APPAREILS POUR LE CONDITIONNEMENT DE L'AIR, FORMANT UN SEUL CORPS OU DU TYPE "SPLIT-SYSTEM" [SYSTÈMES À ÉLÉMENTS SÉPARÉS], DU TYPE MURAL OU POUR FENÊTRES"")</t>
  </si>
  <si>
    <t>=t("Groupes électrogènes à moteur à piston à allumage par compression "moteurs diesel ou semi-diesel", puissance &lt;= 75 kVA")</t>
  </si>
  <si>
    <t>=t("GROUPES ÉLECTROGÈNES À MOTEUR À PISTON À ALLUMAGE PAR COMPRESSION "MOTEUR DIESEL OU SEMI-DIESEL", PUISSANCE &gt; 375 KVA")</t>
  </si>
  <si>
    <t>=t("VÉHICULES POUR LE TRANSPORT DE &gt;= 10 PERSONNES, CHAUFFEUR INCLUS, À MOTEUR À PISTON À ALLUMAGE PAR COMPRESSION "MOTEUR DIESEL OU SEMI-DIESEL"")</t>
  </si>
  <si>
    <t xml:space="preserve">=t("VOITURES DE TOURISME ET AUTRES VÉHICULES PRINCIPALEMENT CONÇUS POUR LE TRANSPORT DE PERSONNES, Y.C. LES VOITURES DU TYPE 'BREAK' ET LES VOITURES DE COURSE, À MOTEUR À PISTON ALTERNATIF À ALLUMAGE PAR ÉTINCELLES "MOTEUR À EXPLOSION", CYLINDRÉE &gt; 1.000 </t>
  </si>
  <si>
    <t xml:space="preserve">=t("VOITURES DE TOURISME ET AUTRES VÉHICULES PRINCIPALEMENT CONÇUS POUR LE TRANSPORT DE PERSONNES, Y.C. LES VOITURES DU TYPE 'BREAK' ET LES VOITURES DE COURSE, À MOTEUR À PISTON ALTERNATIF À ALLUMAGE PAR ÉTINCELLES "MOTEUR À EXPLOSION", CYLINDRÉE &gt; 1.500 </t>
  </si>
  <si>
    <t xml:space="preserve">=t("VOITURES DE TOURISME ET AUTRES VÉHICULES PRINCIPALEMENT CONÇUS POUR LE TRANSPORT DE PERSONNES, Y.C. LES VOITURES DU TYPE 'BREAK' ET LES VOITURES DE COURSE, À MOTEUR À PISTON ALTERNATIF À ALLUMAGE PAR ÉTINCELLES "MOTEUR À EXPLOSION", CYLINDRÉE &gt; 3.000 </t>
  </si>
  <si>
    <t>=t("VOITURES DE TOURISME ET AUTRES VÉHICULES PRINCIPALEMENT CONÇUS POUR LE TRANSPORT DE PERSONNES, Y.C. LES VOITURES DU TYPE 'BREAK' ET LES VOITURES DE COURSE, À MOTEUR À PISTON À ALLUMAGE PAR COMPRESSION "MOTEUR DIESEL OU SEMI-DIESEL", CYLINDRÉE &lt;= 1.500</t>
  </si>
  <si>
    <t>=t("VOITURES DE TOURISME ET AUTRES VÉHICULES PRINCIPALEMENT CONÇUS POUR LE TRANSPORT DE PERSONNES, Y.C. LES VOITURES DU TYPE 'BREAK' ET LES VOITURES DE COURSE, À MOTEUR À PISTON À ALLUMAGE PAR COMPRESSION "MOTEUR DIESEL OU SEMI-DIESEL", CYLINDRÉE &gt; 2500 C</t>
  </si>
  <si>
    <t>=t("VÉHICULES POUR LE TRANSPORT DE MARCHANDISES, À MOTEUR À PISTON À ALLUMAGE PAR COMPRESSION "MOTEUR DIESEL OU SEMI-DIESEL", POIDS EN CHARGE MAXIMAL &lt;= 5 T (SAUF TOMBEREAUX AUTOMOTEURS DU N° 8704 ET VÉHICULES AUTOMOBILES À USAGES SPÉCIAUX DU N° 8705)")</t>
  </si>
  <si>
    <t>=t("VÉHICULES POUR LE TRANSPORT DE MARCHANDISES, À MOTEUR À PISTON À ALLUMAGE PAR COMPRESSION "MOTEUR DIESEL OU SEMI-DIESEL", POIDS EN CHARGE MAXIMAL &gt; 5 T MAIS &lt;= 20 T (SAUF TOMBEREAUX AUTOMOTEURS DU N° 8704.10, VÉHICULES AUTOMOBILES À USAGES SPÉCIAUX DU</t>
  </si>
  <si>
    <t>=t("VÉHICULES POUR LE TRANSPORT DE MARCHANDISES, À MOTEUR À PISTON À ALLUMAGE PAR COMPRESSION "MOTEUR DIESEL OU SEMI-DIESEL", POIDS EN CHARGE MAXIMAL &gt; 20 T (SAUF TOMBEREAUX AUTOMOTEURS DU N° 8704.10, VÉHICULES AUTOMOBILES À USAGES SPÉCIAUX DU N° 8705)")</t>
  </si>
  <si>
    <t>=t("VÉHICULES POUR LE TRANSPORT DE MARCHANDISES, À MOTEUR À PISTON À ALLUMAGE PAR ÉTINCELLES "MOTEUR À EXPLOSION", POIDS EN CHARGE MAXIMAL &lt;= 5 T (SAUF TOMBEREAUX AUTOMOTEURS DU N° 8704.10, VÉHICULES AUTOMOBILES À USAGES SPÉCIAUX DU N° 8705)")</t>
  </si>
  <si>
    <t>Source: Copyright © 1958 - 2003 European Community, Eurostat. All Rights Reserved. Comext: k0000028.txt  Extracted: 07/10/2014</t>
  </si>
  <si>
    <t>Table generation of Extraction from Plan "k0000025,mtx"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</si>
</sst>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9"/>
  <sheetViews>
    <sheetView tabSelected="1" topLeftCell="A15" workbookViewId="0">
      <selection activeCell="C15" sqref="C1:D1048576"/>
    </sheetView>
  </sheetViews>
  <sheetFormatPr baseColWidth="10" defaultRowHeight="15" x14ac:dyDescent="0.25"/>
  <sheetData>
    <row r="1" spans="1:4" x14ac:dyDescent="0.25">
      <c r="C1" t="s">
        <v>31</v>
      </c>
    </row>
    <row r="3" spans="1:4" x14ac:dyDescent="0.25">
      <c r="A3" t="s">
        <v>0</v>
      </c>
      <c r="B3" t="str">
        <f>T("07/10/2014")</f>
        <v>07/10/2014</v>
      </c>
    </row>
    <row r="4" spans="1:4" x14ac:dyDescent="0.25">
      <c r="A4" t="s">
        <v>1</v>
      </c>
      <c r="B4" t="str">
        <f>T("00")</f>
        <v>00</v>
      </c>
    </row>
    <row r="5" spans="1:4" x14ac:dyDescent="0.25">
      <c r="A5" t="s">
        <v>2</v>
      </c>
      <c r="B5" t="str">
        <f>T("2010")</f>
        <v>2010</v>
      </c>
    </row>
    <row r="6" spans="1:4" x14ac:dyDescent="0.25">
      <c r="A6" t="s">
        <v>3</v>
      </c>
      <c r="B6" t="str">
        <f>T("ZZ_7Bureaux")</f>
        <v>ZZ_7Bureaux</v>
      </c>
    </row>
    <row r="7" spans="1:4" x14ac:dyDescent="0.25">
      <c r="A7" t="s">
        <v>4</v>
      </c>
      <c r="B7" t="str">
        <f>T("CS")</f>
        <v>CS</v>
      </c>
    </row>
    <row r="8" spans="1:4" x14ac:dyDescent="0.25">
      <c r="A8" t="s">
        <v>5</v>
      </c>
      <c r="B8" t="str">
        <f>T("ET")</f>
        <v>ET</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T("010519")</f>
        <v>010519</v>
      </c>
      <c r="B16" t="str">
        <f>T("CANARDS, OIES ET PINTADES [DES ESPÈCES DOMESTIQUES], VIVANTS, D'UN POIDS &lt;= 185 G")</f>
        <v>CANARDS, OIES ET PINTADES [DES ESPÈCES DOMESTIQUES], VIVANTS, D'UN POIDS &lt;= 185 G</v>
      </c>
    </row>
    <row r="17" spans="1:4" x14ac:dyDescent="0.25">
      <c r="A17" t="str">
        <f>T("   ZZZ_Monde")</f>
        <v xml:space="preserve">   ZZZ_Monde</v>
      </c>
      <c r="B17" t="str">
        <f>T("   ZZZ_Monde")</f>
        <v xml:space="preserve">   ZZZ_Monde</v>
      </c>
      <c r="C17">
        <v>25000</v>
      </c>
      <c r="D17">
        <v>5</v>
      </c>
    </row>
    <row r="18" spans="1:4" x14ac:dyDescent="0.25">
      <c r="A18" t="str">
        <f>T("   TG")</f>
        <v xml:space="preserve">   TG</v>
      </c>
      <c r="B18" t="str">
        <f>T("   Togo")</f>
        <v xml:space="preserve">   Togo</v>
      </c>
      <c r="C18">
        <v>25000</v>
      </c>
      <c r="D18">
        <v>5</v>
      </c>
    </row>
    <row r="19" spans="1:4" x14ac:dyDescent="0.25">
      <c r="A19" t="str">
        <f>T("020714")</f>
        <v>020714</v>
      </c>
      <c r="B19" t="str">
        <f>T("Morceaux et abats comestibles de coqs et de poules [des espèces domestiques], congelés")</f>
        <v>Morceaux et abats comestibles de coqs et de poules [des espèces domestiques], congelés</v>
      </c>
    </row>
    <row r="20" spans="1:4" x14ac:dyDescent="0.25">
      <c r="A20" t="str">
        <f>T("   ZZZ_Monde")</f>
        <v xml:space="preserve">   ZZZ_Monde</v>
      </c>
      <c r="B20" t="str">
        <f>T("   ZZZ_Monde")</f>
        <v xml:space="preserve">   ZZZ_Monde</v>
      </c>
      <c r="C20">
        <v>35924167077</v>
      </c>
      <c r="D20">
        <v>42130447</v>
      </c>
    </row>
    <row r="21" spans="1:4" x14ac:dyDescent="0.25">
      <c r="A21" t="str">
        <f>T("   NG")</f>
        <v xml:space="preserve">   NG</v>
      </c>
      <c r="B21" t="str">
        <f>T("   Nigéria")</f>
        <v xml:space="preserve">   Nigéria</v>
      </c>
      <c r="C21">
        <v>35924167077</v>
      </c>
      <c r="D21">
        <v>42130447</v>
      </c>
    </row>
    <row r="22" spans="1:4" x14ac:dyDescent="0.25">
      <c r="A22" t="str">
        <f>T("020727")</f>
        <v>020727</v>
      </c>
      <c r="B22" t="str">
        <f>T("Morceaux et abats comestibles de dindes et dindons [des espèces domestiques], congelés")</f>
        <v>Morceaux et abats comestibles de dindes et dindons [des espèces domestiques], congelés</v>
      </c>
    </row>
    <row r="23" spans="1:4" x14ac:dyDescent="0.25">
      <c r="A23" t="str">
        <f>T("   ZZZ_Monde")</f>
        <v xml:space="preserve">   ZZZ_Monde</v>
      </c>
      <c r="B23" t="str">
        <f>T("   ZZZ_Monde")</f>
        <v xml:space="preserve">   ZZZ_Monde</v>
      </c>
      <c r="C23">
        <v>11123327494</v>
      </c>
      <c r="D23">
        <v>13006529</v>
      </c>
    </row>
    <row r="24" spans="1:4" x14ac:dyDescent="0.25">
      <c r="A24" t="str">
        <f>T("   NG")</f>
        <v xml:space="preserve">   NG</v>
      </c>
      <c r="B24" t="str">
        <f>T("   Nigéria")</f>
        <v xml:space="preserve">   Nigéria</v>
      </c>
      <c r="C24">
        <v>11123327494</v>
      </c>
      <c r="D24">
        <v>13006529</v>
      </c>
    </row>
    <row r="25" spans="1:4" x14ac:dyDescent="0.25">
      <c r="A25" t="str">
        <f>T("030379")</f>
        <v>030379</v>
      </c>
      <c r="B25" t="str">
        <f>T("POISSONS D'EAU DOUCE ET DE MER, COMESTIBLES, CONGELÉS (À L'EXCL. DES SALMONIDÉS, DES POISSONS PLATS, DES THONS, DES LISTAOS OU BONITES À VENTRE RAYÉ, DES HARENGS, DES MORUES, DES ESPADONS, DES LÉGINES, DES SARDINES, DES SARDINELLES, DES SPRATS OU ESPROTS,")</f>
        <v>POISSONS D'EAU DOUCE ET DE MER, COMESTIBLES, CONGELÉS (À L'EXCL. DES SALMONIDÉS, DES POISSONS PLATS, DES THONS, DES LISTAOS OU BONITES À VENTRE RAYÉ, DES HARENGS, DES MORUES, DES ESPADONS, DES LÉGINES, DES SARDINES, DES SARDINELLES, DES SPRATS OU ESPROTS,</v>
      </c>
    </row>
    <row r="26" spans="1:4" x14ac:dyDescent="0.25">
      <c r="A26" t="str">
        <f>T("   ZZZ_Monde")</f>
        <v xml:space="preserve">   ZZZ_Monde</v>
      </c>
      <c r="B26" t="str">
        <f>T("   ZZZ_Monde")</f>
        <v xml:space="preserve">   ZZZ_Monde</v>
      </c>
      <c r="C26">
        <v>664123090</v>
      </c>
      <c r="D26">
        <v>1148796</v>
      </c>
    </row>
    <row r="27" spans="1:4" x14ac:dyDescent="0.25">
      <c r="A27" t="str">
        <f>T("   GH")</f>
        <v xml:space="preserve">   GH</v>
      </c>
      <c r="B27" t="str">
        <f>T("   Ghana")</f>
        <v xml:space="preserve">   Ghana</v>
      </c>
      <c r="C27">
        <v>94467000</v>
      </c>
      <c r="D27">
        <v>155361</v>
      </c>
    </row>
    <row r="28" spans="1:4" x14ac:dyDescent="0.25">
      <c r="A28" t="str">
        <f>T("   TG")</f>
        <v xml:space="preserve">   TG</v>
      </c>
      <c r="B28" t="str">
        <f>T("   Togo")</f>
        <v xml:space="preserve">   Togo</v>
      </c>
      <c r="C28">
        <v>569656090</v>
      </c>
      <c r="D28">
        <v>993435</v>
      </c>
    </row>
    <row r="29" spans="1:4" x14ac:dyDescent="0.25">
      <c r="A29" t="str">
        <f>T("040221")</f>
        <v>040221</v>
      </c>
      <c r="B29" t="str">
        <f>T("Lait et crème de lait, en poudre, en granulés ou sous d'autres formes solides, d'une teneur en poids de matières grasses &gt; 1,5%, sans addition de sucre ou d'autres édulcorants")</f>
        <v>Lait et crème de lait, en poudre, en granulés ou sous d'autres formes solides, d'une teneur en poids de matières grasses &gt; 1,5%, sans addition de sucre ou d'autres édulcorants</v>
      </c>
    </row>
    <row r="30" spans="1:4" x14ac:dyDescent="0.25">
      <c r="A30" t="str">
        <f>T("   ZZZ_Monde")</f>
        <v xml:space="preserve">   ZZZ_Monde</v>
      </c>
      <c r="B30" t="str">
        <f>T("   ZZZ_Monde")</f>
        <v xml:space="preserve">   ZZZ_Monde</v>
      </c>
      <c r="C30">
        <v>95678000</v>
      </c>
      <c r="D30">
        <v>42500</v>
      </c>
    </row>
    <row r="31" spans="1:4" x14ac:dyDescent="0.25">
      <c r="A31" t="str">
        <f>T("   NE")</f>
        <v xml:space="preserve">   NE</v>
      </c>
      <c r="B31" t="str">
        <f>T("   Niger")</f>
        <v xml:space="preserve">   Niger</v>
      </c>
      <c r="C31">
        <v>95678000</v>
      </c>
      <c r="D31">
        <v>42500</v>
      </c>
    </row>
    <row r="32" spans="1:4" x14ac:dyDescent="0.25">
      <c r="A32" t="str">
        <f>T("040310")</f>
        <v>040310</v>
      </c>
      <c r="B32" t="str">
        <f>T("Yoghourts, même additionnés de sucre ou d'autres édulcorants ou aromatisés ou additionnés de fruits ou de cacao")</f>
        <v>Yoghourts, même additionnés de sucre ou d'autres édulcorants ou aromatisés ou additionnés de fruits ou de cacao</v>
      </c>
    </row>
    <row r="33" spans="1:4" x14ac:dyDescent="0.25">
      <c r="A33" t="str">
        <f>T("   ZZZ_Monde")</f>
        <v xml:space="preserve">   ZZZ_Monde</v>
      </c>
      <c r="B33" t="str">
        <f>T("   ZZZ_Monde")</f>
        <v xml:space="preserve">   ZZZ_Monde</v>
      </c>
      <c r="C33">
        <v>25617000</v>
      </c>
      <c r="D33">
        <v>19850</v>
      </c>
    </row>
    <row r="34" spans="1:4" x14ac:dyDescent="0.25">
      <c r="A34" t="str">
        <f>T("   BF")</f>
        <v xml:space="preserve">   BF</v>
      </c>
      <c r="B34" t="str">
        <f>T("   Burkina Faso")</f>
        <v xml:space="preserve">   Burkina Faso</v>
      </c>
      <c r="C34">
        <v>7000000</v>
      </c>
      <c r="D34">
        <v>1800</v>
      </c>
    </row>
    <row r="35" spans="1:4" x14ac:dyDescent="0.25">
      <c r="A35" t="str">
        <f>T("   NE")</f>
        <v xml:space="preserve">   NE</v>
      </c>
      <c r="B35" t="str">
        <f>T("   Niger")</f>
        <v xml:space="preserve">   Niger</v>
      </c>
      <c r="C35">
        <v>9000000</v>
      </c>
      <c r="D35">
        <v>3500</v>
      </c>
    </row>
    <row r="36" spans="1:4" x14ac:dyDescent="0.25">
      <c r="A36" t="str">
        <f>T("   NG")</f>
        <v xml:space="preserve">   NG</v>
      </c>
      <c r="B36" t="str">
        <f>T("   Nigéria")</f>
        <v xml:space="preserve">   Nigéria</v>
      </c>
      <c r="C36">
        <v>8000000</v>
      </c>
      <c r="D36">
        <v>4500</v>
      </c>
    </row>
    <row r="37" spans="1:4" x14ac:dyDescent="0.25">
      <c r="A37" t="str">
        <f>T("   TG")</f>
        <v xml:space="preserve">   TG</v>
      </c>
      <c r="B37" t="str">
        <f>T("   Togo")</f>
        <v xml:space="preserve">   Togo</v>
      </c>
      <c r="C37">
        <v>1617000</v>
      </c>
      <c r="D37">
        <v>10050</v>
      </c>
    </row>
    <row r="38" spans="1:4" x14ac:dyDescent="0.25">
      <c r="A38" t="str">
        <f>T("040590")</f>
        <v>040590</v>
      </c>
      <c r="B38" t="str">
        <f>T("Matières grasses provenant du lait ainsi que beurre déshydraté et ghee (à l'excl. du beurre naturel, du beurre recombiné et du beurre de lactosérum)")</f>
        <v>Matières grasses provenant du lait ainsi que beurre déshydraté et ghee (à l'excl. du beurre naturel, du beurre recombiné et du beurre de lactosérum)</v>
      </c>
    </row>
    <row r="39" spans="1:4" x14ac:dyDescent="0.25">
      <c r="A39" t="str">
        <f>T("   ZZZ_Monde")</f>
        <v xml:space="preserve">   ZZZ_Monde</v>
      </c>
      <c r="B39" t="str">
        <f>T("   ZZZ_Monde")</f>
        <v xml:space="preserve">   ZZZ_Monde</v>
      </c>
      <c r="C39">
        <v>1440000</v>
      </c>
      <c r="D39">
        <v>16000</v>
      </c>
    </row>
    <row r="40" spans="1:4" x14ac:dyDescent="0.25">
      <c r="A40" t="str">
        <f>T("   IN")</f>
        <v xml:space="preserve">   IN</v>
      </c>
      <c r="B40" t="str">
        <f>T("   Inde")</f>
        <v xml:space="preserve">   Inde</v>
      </c>
      <c r="C40">
        <v>1440000</v>
      </c>
      <c r="D40">
        <v>16000</v>
      </c>
    </row>
    <row r="41" spans="1:4" x14ac:dyDescent="0.25">
      <c r="A41" t="str">
        <f>T("060499")</f>
        <v>060499</v>
      </c>
      <c r="B41" t="str">
        <f>T("Feuillages, feuilles, rameaux et autres parties de plantes, sans fleurs ni boutons de fleurs, et herbes, pour bouquets ou pour ornements, séchés, blanchis, teints, imprégnés ou autrement travaillés")</f>
        <v>Feuillages, feuilles, rameaux et autres parties de plantes, sans fleurs ni boutons de fleurs, et herbes, pour bouquets ou pour ornements, séchés, blanchis, teints, imprégnés ou autrement travaillés</v>
      </c>
    </row>
    <row r="42" spans="1:4" x14ac:dyDescent="0.25">
      <c r="A42" t="str">
        <f>T("   ZZZ_Monde")</f>
        <v xml:space="preserve">   ZZZ_Monde</v>
      </c>
      <c r="B42" t="str">
        <f>T("   ZZZ_Monde")</f>
        <v xml:space="preserve">   ZZZ_Monde</v>
      </c>
      <c r="C42">
        <v>1650000</v>
      </c>
      <c r="D42">
        <v>11000</v>
      </c>
    </row>
    <row r="43" spans="1:4" x14ac:dyDescent="0.25">
      <c r="A43" t="str">
        <f>T("   LY")</f>
        <v xml:space="preserve">   LY</v>
      </c>
      <c r="B43" t="str">
        <f>T("   Libyenne, Jamahiriya Arabe")</f>
        <v xml:space="preserve">   Libyenne, Jamahiriya Arabe</v>
      </c>
      <c r="C43">
        <v>1650000</v>
      </c>
      <c r="D43">
        <v>11000</v>
      </c>
    </row>
    <row r="44" spans="1:4" x14ac:dyDescent="0.25">
      <c r="A44" t="str">
        <f>T("071339")</f>
        <v>071339</v>
      </c>
      <c r="B44" t="str">
        <f>T("Haricots 'Vigna spp., Phaseolus spp.', secs, écossés, même décortiqués ou cassés (à l'excl. des haricots des espèces 'Vigna mungo L. Hepper ou Vigna radiata L. Wilczek', des haricots 'petits rouges' [haricots Adzuki] et des haricots communs)")</f>
        <v>Haricots 'Vigna spp., Phaseolus spp.', secs, écossés, même décortiqués ou cassés (à l'excl. des haricots des espèces 'Vigna mungo L. Hepper ou Vigna radiata L. Wilczek', des haricots 'petits rouges' [haricots Adzuki] et des haricots communs)</v>
      </c>
    </row>
    <row r="45" spans="1:4" x14ac:dyDescent="0.25">
      <c r="A45" t="str">
        <f>T("   ZZZ_Monde")</f>
        <v xml:space="preserve">   ZZZ_Monde</v>
      </c>
      <c r="B45" t="str">
        <f>T("   ZZZ_Monde")</f>
        <v xml:space="preserve">   ZZZ_Monde</v>
      </c>
      <c r="C45">
        <v>2082500</v>
      </c>
      <c r="D45">
        <v>5950</v>
      </c>
    </row>
    <row r="46" spans="1:4" x14ac:dyDescent="0.25">
      <c r="A46" t="str">
        <f>T("   GA")</f>
        <v xml:space="preserve">   GA</v>
      </c>
      <c r="B46" t="str">
        <f>T("   Gabon")</f>
        <v xml:space="preserve">   Gabon</v>
      </c>
      <c r="C46">
        <v>2082500</v>
      </c>
      <c r="D46">
        <v>5950</v>
      </c>
    </row>
    <row r="47" spans="1:4" x14ac:dyDescent="0.25">
      <c r="A47" t="str">
        <f>T("071490")</f>
        <v>071490</v>
      </c>
      <c r="B47" t="str">
        <f>T("Racines d'arrow-root ou de salep, topinambours et racines et tubercules simil. à haute teneur en fécule ou en inuline, frais, réfrigérés, congelés ou séchés, même débités en morceaux ou agglomérés sous forme de pellets et moelle de sagoutier (à l'excl. de")</f>
        <v>Racines d'arrow-root ou de salep, topinambours et racines et tubercules simil. à haute teneur en fécule ou en inuline, frais, réfrigérés, congelés ou séchés, même débités en morceaux ou agglomérés sous forme de pellets et moelle de sagoutier (à l'excl. de</v>
      </c>
    </row>
    <row r="48" spans="1:4" x14ac:dyDescent="0.25">
      <c r="A48" t="str">
        <f>T("   ZZZ_Monde")</f>
        <v xml:space="preserve">   ZZZ_Monde</v>
      </c>
      <c r="B48" t="str">
        <f>T("   ZZZ_Monde")</f>
        <v xml:space="preserve">   ZZZ_Monde</v>
      </c>
      <c r="C48">
        <v>7750000</v>
      </c>
      <c r="D48">
        <v>167600</v>
      </c>
    </row>
    <row r="49" spans="1:4" x14ac:dyDescent="0.25">
      <c r="A49" t="str">
        <f>T("   CG")</f>
        <v xml:space="preserve">   CG</v>
      </c>
      <c r="B49" t="str">
        <f>T("   Congo (Brazzaville)")</f>
        <v xml:space="preserve">   Congo (Brazzaville)</v>
      </c>
      <c r="C49">
        <v>615000</v>
      </c>
      <c r="D49">
        <v>10000</v>
      </c>
    </row>
    <row r="50" spans="1:4" x14ac:dyDescent="0.25">
      <c r="A50" t="str">
        <f>T("   GA")</f>
        <v xml:space="preserve">   GA</v>
      </c>
      <c r="B50" t="str">
        <f>T("   Gabon")</f>
        <v xml:space="preserve">   Gabon</v>
      </c>
      <c r="C50">
        <v>5595000</v>
      </c>
      <c r="D50">
        <v>130000</v>
      </c>
    </row>
    <row r="51" spans="1:4" x14ac:dyDescent="0.25">
      <c r="A51" t="str">
        <f>T("   GB")</f>
        <v xml:space="preserve">   GB</v>
      </c>
      <c r="B51" t="str">
        <f>T("   Royaume-Uni")</f>
        <v xml:space="preserve">   Royaume-Uni</v>
      </c>
      <c r="C51">
        <v>350000</v>
      </c>
      <c r="D51">
        <v>10600</v>
      </c>
    </row>
    <row r="52" spans="1:4" x14ac:dyDescent="0.25">
      <c r="A52" t="str">
        <f>T("   US")</f>
        <v xml:space="preserve">   US</v>
      </c>
      <c r="B52" t="str">
        <f>T("   Etats-Unis")</f>
        <v xml:space="preserve">   Etats-Unis</v>
      </c>
      <c r="C52">
        <v>1190000</v>
      </c>
      <c r="D52">
        <v>17000</v>
      </c>
    </row>
    <row r="53" spans="1:4" x14ac:dyDescent="0.25">
      <c r="A53" t="str">
        <f>T("080121")</f>
        <v>080121</v>
      </c>
      <c r="B53" t="str">
        <f>T("Noix du Brésil, fraîches ou sèches, en coques")</f>
        <v>Noix du Brésil, fraîches ou sèches, en coques</v>
      </c>
    </row>
    <row r="54" spans="1:4" x14ac:dyDescent="0.25">
      <c r="A54" t="str">
        <f>T("   ZZZ_Monde")</f>
        <v xml:space="preserve">   ZZZ_Monde</v>
      </c>
      <c r="B54" t="str">
        <f>T("   ZZZ_Monde")</f>
        <v xml:space="preserve">   ZZZ_Monde</v>
      </c>
      <c r="C54">
        <v>26620000</v>
      </c>
      <c r="D54">
        <v>133100</v>
      </c>
    </row>
    <row r="55" spans="1:4" x14ac:dyDescent="0.25">
      <c r="A55" t="str">
        <f>T("   IN")</f>
        <v xml:space="preserve">   IN</v>
      </c>
      <c r="B55" t="str">
        <f>T("   Inde")</f>
        <v xml:space="preserve">   Inde</v>
      </c>
      <c r="C55">
        <v>26620000</v>
      </c>
      <c r="D55">
        <v>133100</v>
      </c>
    </row>
    <row r="56" spans="1:4" x14ac:dyDescent="0.25">
      <c r="A56" t="str">
        <f>T("080131")</f>
        <v>080131</v>
      </c>
      <c r="B56" t="str">
        <f>T("Noix de cajou, fraîches ou sèches, en coques")</f>
        <v>Noix de cajou, fraîches ou sèches, en coques</v>
      </c>
    </row>
    <row r="57" spans="1:4" x14ac:dyDescent="0.25">
      <c r="A57" t="str">
        <f>T("   ZZZ_Monde")</f>
        <v xml:space="preserve">   ZZZ_Monde</v>
      </c>
      <c r="B57" t="str">
        <f>T("   ZZZ_Monde")</f>
        <v xml:space="preserve">   ZZZ_Monde</v>
      </c>
      <c r="C57">
        <v>12266224477</v>
      </c>
      <c r="D57">
        <v>59840626.119999997</v>
      </c>
    </row>
    <row r="58" spans="1:4" x14ac:dyDescent="0.25">
      <c r="A58" t="str">
        <f>T("   AE")</f>
        <v xml:space="preserve">   AE</v>
      </c>
      <c r="B58" t="str">
        <f>T("   Emirats Arabes Unis")</f>
        <v xml:space="preserve">   Emirats Arabes Unis</v>
      </c>
      <c r="C58">
        <v>548063075</v>
      </c>
      <c r="D58">
        <v>2235895</v>
      </c>
    </row>
    <row r="59" spans="1:4" x14ac:dyDescent="0.25">
      <c r="A59" t="str">
        <f>T("   CH")</f>
        <v xml:space="preserve">   CH</v>
      </c>
      <c r="B59" t="str">
        <f>T("   Suisse")</f>
        <v xml:space="preserve">   Suisse</v>
      </c>
      <c r="C59">
        <v>56810000</v>
      </c>
      <c r="D59">
        <v>215790</v>
      </c>
    </row>
    <row r="60" spans="1:4" x14ac:dyDescent="0.25">
      <c r="A60" t="str">
        <f>T("   CN")</f>
        <v xml:space="preserve">   CN</v>
      </c>
      <c r="B60" t="str">
        <f>T("   Chine")</f>
        <v xml:space="preserve">   Chine</v>
      </c>
      <c r="C60">
        <v>618058009</v>
      </c>
      <c r="D60">
        <v>2164953</v>
      </c>
    </row>
    <row r="61" spans="1:4" x14ac:dyDescent="0.25">
      <c r="A61" t="str">
        <f>T("   ES")</f>
        <v xml:space="preserve">   ES</v>
      </c>
      <c r="B61" t="str">
        <f>T("   Espagne")</f>
        <v xml:space="preserve">   Espagne</v>
      </c>
      <c r="C61">
        <v>32500000</v>
      </c>
      <c r="D61">
        <v>100000</v>
      </c>
    </row>
    <row r="62" spans="1:4" x14ac:dyDescent="0.25">
      <c r="A62" t="str">
        <f>T("   GH")</f>
        <v xml:space="preserve">   GH</v>
      </c>
      <c r="B62" t="str">
        <f>T("   Ghana")</f>
        <v xml:space="preserve">   Ghana</v>
      </c>
      <c r="C62">
        <v>1800000</v>
      </c>
      <c r="D62">
        <v>13800000</v>
      </c>
    </row>
    <row r="63" spans="1:4" x14ac:dyDescent="0.25">
      <c r="A63" t="str">
        <f>T("   HK")</f>
        <v xml:space="preserve">   HK</v>
      </c>
      <c r="B63" t="str">
        <f>T("   Hong-Kong")</f>
        <v xml:space="preserve">   Hong-Kong</v>
      </c>
      <c r="C63">
        <v>82359255</v>
      </c>
      <c r="D63">
        <v>315389</v>
      </c>
    </row>
    <row r="64" spans="1:4" x14ac:dyDescent="0.25">
      <c r="A64" t="str">
        <f>T("   IN")</f>
        <v xml:space="preserve">   IN</v>
      </c>
      <c r="B64" t="str">
        <f>T("   Inde")</f>
        <v xml:space="preserve">   Inde</v>
      </c>
      <c r="C64">
        <v>8437126706</v>
      </c>
      <c r="D64">
        <v>31993128.120000001</v>
      </c>
    </row>
    <row r="65" spans="1:4" x14ac:dyDescent="0.25">
      <c r="A65" t="str">
        <f>T("   MA")</f>
        <v xml:space="preserve">   MA</v>
      </c>
      <c r="B65" t="str">
        <f>T("   Maroc")</f>
        <v xml:space="preserve">   Maroc</v>
      </c>
      <c r="C65">
        <v>74562973</v>
      </c>
      <c r="D65">
        <v>189450</v>
      </c>
    </row>
    <row r="66" spans="1:4" x14ac:dyDescent="0.25">
      <c r="A66" t="str">
        <f>T("   NG")</f>
        <v xml:space="preserve">   NG</v>
      </c>
      <c r="B66" t="str">
        <f>T("   Nigéria")</f>
        <v xml:space="preserve">   Nigéria</v>
      </c>
      <c r="C66">
        <v>2300400</v>
      </c>
      <c r="D66">
        <v>11502</v>
      </c>
    </row>
    <row r="67" spans="1:4" x14ac:dyDescent="0.25">
      <c r="A67" t="str">
        <f>T("   SG")</f>
        <v xml:space="preserve">   SG</v>
      </c>
      <c r="B67" t="str">
        <f>T("   Singapour")</f>
        <v xml:space="preserve">   Singapour</v>
      </c>
      <c r="C67">
        <v>2150460685</v>
      </c>
      <c r="D67">
        <v>7963774</v>
      </c>
    </row>
    <row r="68" spans="1:4" x14ac:dyDescent="0.25">
      <c r="A68" t="str">
        <f>T("   TH")</f>
        <v xml:space="preserve">   TH</v>
      </c>
      <c r="B68" t="str">
        <f>T("   Thaïlande")</f>
        <v xml:space="preserve">   Thaïlande</v>
      </c>
      <c r="C68">
        <v>3600000</v>
      </c>
      <c r="D68">
        <v>27580</v>
      </c>
    </row>
    <row r="69" spans="1:4" x14ac:dyDescent="0.25">
      <c r="A69" t="str">
        <f>T("   VN")</f>
        <v xml:space="preserve">   VN</v>
      </c>
      <c r="B69" t="str">
        <f>T("   Vietnam")</f>
        <v xml:space="preserve">   Vietnam</v>
      </c>
      <c r="C69">
        <v>258583374</v>
      </c>
      <c r="D69">
        <v>823165</v>
      </c>
    </row>
    <row r="70" spans="1:4" x14ac:dyDescent="0.25">
      <c r="A70" t="str">
        <f>T("080132")</f>
        <v>080132</v>
      </c>
      <c r="B70" t="str">
        <f>T("Noix de cajou, fraîches ou sèches, sans coques")</f>
        <v>Noix de cajou, fraîches ou sèches, sans coques</v>
      </c>
    </row>
    <row r="71" spans="1:4" x14ac:dyDescent="0.25">
      <c r="A71" t="str">
        <f>T("   ZZZ_Monde")</f>
        <v xml:space="preserve">   ZZZ_Monde</v>
      </c>
      <c r="B71" t="str">
        <f>T("   ZZZ_Monde")</f>
        <v xml:space="preserve">   ZZZ_Monde</v>
      </c>
      <c r="C71">
        <v>314541090</v>
      </c>
      <c r="D71">
        <v>939381.35</v>
      </c>
    </row>
    <row r="72" spans="1:4" x14ac:dyDescent="0.25">
      <c r="A72" t="str">
        <f>T("   CN")</f>
        <v xml:space="preserve">   CN</v>
      </c>
      <c r="B72" t="str">
        <f>T("   Chine")</f>
        <v xml:space="preserve">   Chine</v>
      </c>
      <c r="C72">
        <v>41325300</v>
      </c>
      <c r="D72">
        <v>230000</v>
      </c>
    </row>
    <row r="73" spans="1:4" x14ac:dyDescent="0.25">
      <c r="A73" t="str">
        <f>T("   IN")</f>
        <v xml:space="preserve">   IN</v>
      </c>
      <c r="B73" t="str">
        <f>T("   Inde")</f>
        <v xml:space="preserve">   Inde</v>
      </c>
      <c r="C73">
        <v>95722890</v>
      </c>
      <c r="D73">
        <v>580000</v>
      </c>
    </row>
    <row r="74" spans="1:4" x14ac:dyDescent="0.25">
      <c r="A74" t="str">
        <f>T("   LB")</f>
        <v xml:space="preserve">   LB</v>
      </c>
      <c r="B74" t="str">
        <f>T("   Liban")</f>
        <v xml:space="preserve">   Liban</v>
      </c>
      <c r="C74">
        <v>33845568</v>
      </c>
      <c r="D74">
        <v>15876</v>
      </c>
    </row>
    <row r="75" spans="1:4" x14ac:dyDescent="0.25">
      <c r="A75" t="str">
        <f>T("   NL")</f>
        <v xml:space="preserve">   NL</v>
      </c>
      <c r="B75" t="str">
        <f>T("   Pays-bas")</f>
        <v xml:space="preserve">   Pays-bas</v>
      </c>
      <c r="C75">
        <v>135382272</v>
      </c>
      <c r="D75">
        <v>63505.35</v>
      </c>
    </row>
    <row r="76" spans="1:4" x14ac:dyDescent="0.25">
      <c r="A76" t="str">
        <f>T("   PK")</f>
        <v xml:space="preserve">   PK</v>
      </c>
      <c r="B76" t="str">
        <f>T("   Pakistan")</f>
        <v xml:space="preserve">   Pakistan</v>
      </c>
      <c r="C76">
        <v>8265060</v>
      </c>
      <c r="D76">
        <v>50000</v>
      </c>
    </row>
    <row r="77" spans="1:4" x14ac:dyDescent="0.25">
      <c r="A77" t="str">
        <f>T("080211")</f>
        <v>080211</v>
      </c>
      <c r="B77" t="str">
        <f>T("Amandes, fraîches ou sèches, en coques")</f>
        <v>Amandes, fraîches ou sèches, en coques</v>
      </c>
    </row>
    <row r="78" spans="1:4" x14ac:dyDescent="0.25">
      <c r="A78" t="str">
        <f>T("   ZZZ_Monde")</f>
        <v xml:space="preserve">   ZZZ_Monde</v>
      </c>
      <c r="B78" t="str">
        <f>T("   ZZZ_Monde")</f>
        <v xml:space="preserve">   ZZZ_Monde</v>
      </c>
      <c r="C78">
        <v>3479011378</v>
      </c>
      <c r="D78">
        <v>21260841</v>
      </c>
    </row>
    <row r="79" spans="1:4" x14ac:dyDescent="0.25">
      <c r="A79" t="str">
        <f>T("   DK")</f>
        <v xml:space="preserve">   DK</v>
      </c>
      <c r="B79" t="str">
        <f>T("   Danemark")</f>
        <v xml:space="preserve">   Danemark</v>
      </c>
      <c r="C79">
        <v>3474652918</v>
      </c>
      <c r="D79">
        <v>21188200</v>
      </c>
    </row>
    <row r="80" spans="1:4" x14ac:dyDescent="0.25">
      <c r="A80" t="str">
        <f>T("   IN")</f>
        <v xml:space="preserve">   IN</v>
      </c>
      <c r="B80" t="str">
        <f>T("   Inde")</f>
        <v xml:space="preserve">   Inde</v>
      </c>
      <c r="C80">
        <v>4358460</v>
      </c>
      <c r="D80">
        <v>72641</v>
      </c>
    </row>
    <row r="81" spans="1:4" x14ac:dyDescent="0.25">
      <c r="A81" t="str">
        <f>T("080290")</f>
        <v>080290</v>
      </c>
      <c r="B81" t="str">
        <f>T("FRUITS À COQUES, FRAIS OU SECS, MÊME SANS LEURS COQUES OU DÉCORTIQUÉS (À L'EXCL. DES NOIX DE COCO, DU BRÉSIL OU DE CAJOU AINSI QUE DES AMANDES, DES NOISETTES, DES NOIX COMMUNES, DES CHÂTAIGNES, DES MARRONS, DES PISTACHESE ET DES NOIX MACADAMIA)")</f>
        <v>FRUITS À COQUES, FRAIS OU SECS, MÊME SANS LEURS COQUES OU DÉCORTIQUÉS (À L'EXCL. DES NOIX DE COCO, DU BRÉSIL OU DE CAJOU AINSI QUE DES AMANDES, DES NOISETTES, DES NOIX COMMUNES, DES CHÂTAIGNES, DES MARRONS, DES PISTACHESE ET DES NOIX MACADAMIA)</v>
      </c>
    </row>
    <row r="82" spans="1:4" x14ac:dyDescent="0.25">
      <c r="A82" t="str">
        <f>T("   ZZZ_Monde")</f>
        <v xml:space="preserve">   ZZZ_Monde</v>
      </c>
      <c r="B82" t="str">
        <f>T("   ZZZ_Monde")</f>
        <v xml:space="preserve">   ZZZ_Monde</v>
      </c>
      <c r="C82">
        <v>2547000</v>
      </c>
      <c r="D82">
        <v>8490</v>
      </c>
    </row>
    <row r="83" spans="1:4" x14ac:dyDescent="0.25">
      <c r="A83" t="str">
        <f>T("   SN")</f>
        <v xml:space="preserve">   SN</v>
      </c>
      <c r="B83" t="str">
        <f>T("   Sénégal")</f>
        <v xml:space="preserve">   Sénégal</v>
      </c>
      <c r="C83">
        <v>2547000</v>
      </c>
      <c r="D83">
        <v>8490</v>
      </c>
    </row>
    <row r="84" spans="1:4" x14ac:dyDescent="0.25">
      <c r="A84" t="str">
        <f>T("080430")</f>
        <v>080430</v>
      </c>
      <c r="B84" t="str">
        <f>T("Ananas, frais ou secs")</f>
        <v>Ananas, frais ou secs</v>
      </c>
    </row>
    <row r="85" spans="1:4" x14ac:dyDescent="0.25">
      <c r="A85" t="str">
        <f>T("   ZZZ_Monde")</f>
        <v xml:space="preserve">   ZZZ_Monde</v>
      </c>
      <c r="B85" t="str">
        <f>T("   ZZZ_Monde")</f>
        <v xml:space="preserve">   ZZZ_Monde</v>
      </c>
      <c r="C85">
        <v>22055481</v>
      </c>
      <c r="D85">
        <v>81835</v>
      </c>
    </row>
    <row r="86" spans="1:4" x14ac:dyDescent="0.25">
      <c r="A86" t="str">
        <f>T("   BE")</f>
        <v xml:space="preserve">   BE</v>
      </c>
      <c r="B86" t="str">
        <f>T("   Belgique")</f>
        <v xml:space="preserve">   Belgique</v>
      </c>
      <c r="C86">
        <v>7329926</v>
      </c>
      <c r="D86">
        <v>1000</v>
      </c>
    </row>
    <row r="87" spans="1:4" x14ac:dyDescent="0.25">
      <c r="A87" t="str">
        <f>T("   CH")</f>
        <v xml:space="preserve">   CH</v>
      </c>
      <c r="B87" t="str">
        <f>T("   Suisse")</f>
        <v xml:space="preserve">   Suisse</v>
      </c>
      <c r="C87">
        <v>5495555</v>
      </c>
      <c r="D87">
        <v>1000</v>
      </c>
    </row>
    <row r="88" spans="1:4" x14ac:dyDescent="0.25">
      <c r="A88" t="str">
        <f>T("   FR")</f>
        <v xml:space="preserve">   FR</v>
      </c>
      <c r="B88" t="str">
        <f>T("   France")</f>
        <v xml:space="preserve">   France</v>
      </c>
      <c r="C88">
        <v>7899500</v>
      </c>
      <c r="D88">
        <v>73510</v>
      </c>
    </row>
    <row r="89" spans="1:4" x14ac:dyDescent="0.25">
      <c r="A89" t="str">
        <f>T("   GH")</f>
        <v xml:space="preserve">   GH</v>
      </c>
      <c r="B89" t="str">
        <f>T("   Ghana")</f>
        <v xml:space="preserve">   Ghana</v>
      </c>
      <c r="C89">
        <v>412500</v>
      </c>
      <c r="D89">
        <v>825</v>
      </c>
    </row>
    <row r="90" spans="1:4" x14ac:dyDescent="0.25">
      <c r="A90" t="str">
        <f>T("   LY")</f>
        <v xml:space="preserve">   LY</v>
      </c>
      <c r="B90" t="str">
        <f>T("   Libyenne, Jamahiriya Arabe")</f>
        <v xml:space="preserve">   Libyenne, Jamahiriya Arabe</v>
      </c>
      <c r="C90">
        <v>118000</v>
      </c>
      <c r="D90">
        <v>1000</v>
      </c>
    </row>
    <row r="91" spans="1:4" x14ac:dyDescent="0.25">
      <c r="A91" t="str">
        <f>T("   MA")</f>
        <v xml:space="preserve">   MA</v>
      </c>
      <c r="B91" t="str">
        <f>T("   Maroc")</f>
        <v xml:space="preserve">   Maroc</v>
      </c>
      <c r="C91">
        <v>300000</v>
      </c>
      <c r="D91">
        <v>1000</v>
      </c>
    </row>
    <row r="92" spans="1:4" x14ac:dyDescent="0.25">
      <c r="A92" t="str">
        <f>T("   TG")</f>
        <v xml:space="preserve">   TG</v>
      </c>
      <c r="B92" t="str">
        <f>T("   Togo")</f>
        <v xml:space="preserve">   Togo</v>
      </c>
      <c r="C92">
        <v>500000</v>
      </c>
      <c r="D92">
        <v>3500</v>
      </c>
    </row>
    <row r="93" spans="1:4" x14ac:dyDescent="0.25">
      <c r="A93" t="str">
        <f>T("090420")</f>
        <v>090420</v>
      </c>
      <c r="B93" t="str">
        <f>T("Piments du genre 'Capsicum' ou du genre 'Pimenta', séchés ou broyés ou pulvérisés")</f>
        <v>Piments du genre 'Capsicum' ou du genre 'Pimenta', séchés ou broyés ou pulvérisés</v>
      </c>
    </row>
    <row r="94" spans="1:4" x14ac:dyDescent="0.25">
      <c r="A94" t="str">
        <f>T("   ZZZ_Monde")</f>
        <v xml:space="preserve">   ZZZ_Monde</v>
      </c>
      <c r="B94" t="str">
        <f>T("   ZZZ_Monde")</f>
        <v xml:space="preserve">   ZZZ_Monde</v>
      </c>
      <c r="C94">
        <v>1515900</v>
      </c>
      <c r="D94">
        <v>4850</v>
      </c>
    </row>
    <row r="95" spans="1:4" x14ac:dyDescent="0.25">
      <c r="A95" t="str">
        <f>T("   SN")</f>
        <v xml:space="preserve">   SN</v>
      </c>
      <c r="B95" t="str">
        <f>T("   Sénégal")</f>
        <v xml:space="preserve">   Sénégal</v>
      </c>
      <c r="C95">
        <v>1515900</v>
      </c>
      <c r="D95">
        <v>4850</v>
      </c>
    </row>
    <row r="96" spans="1:4" x14ac:dyDescent="0.25">
      <c r="A96" t="str">
        <f>T("091010")</f>
        <v>091010</v>
      </c>
      <c r="B96" t="str">
        <f>T("Gingembre")</f>
        <v>Gingembre</v>
      </c>
    </row>
    <row r="97" spans="1:4" x14ac:dyDescent="0.25">
      <c r="A97" t="str">
        <f>T("   ZZZ_Monde")</f>
        <v xml:space="preserve">   ZZZ_Monde</v>
      </c>
      <c r="B97" t="str">
        <f>T("   ZZZ_Monde")</f>
        <v xml:space="preserve">   ZZZ_Monde</v>
      </c>
      <c r="C97">
        <v>8787633</v>
      </c>
      <c r="D97">
        <v>76007</v>
      </c>
    </row>
    <row r="98" spans="1:4" x14ac:dyDescent="0.25">
      <c r="A98" t="str">
        <f>T("   DE")</f>
        <v xml:space="preserve">   DE</v>
      </c>
      <c r="B98" t="str">
        <f>T("   Allemagne")</f>
        <v xml:space="preserve">   Allemagne</v>
      </c>
      <c r="C98">
        <v>2275950</v>
      </c>
      <c r="D98">
        <v>15173</v>
      </c>
    </row>
    <row r="99" spans="1:4" x14ac:dyDescent="0.25">
      <c r="A99" t="str">
        <f>T("   FR")</f>
        <v xml:space="preserve">   FR</v>
      </c>
      <c r="B99" t="str">
        <f>T("   France")</f>
        <v xml:space="preserve">   France</v>
      </c>
      <c r="C99">
        <v>1421100</v>
      </c>
      <c r="D99">
        <v>9474</v>
      </c>
    </row>
    <row r="100" spans="1:4" x14ac:dyDescent="0.25">
      <c r="A100" t="str">
        <f>T("   MA")</f>
        <v xml:space="preserve">   MA</v>
      </c>
      <c r="B100" t="str">
        <f>T("   Maroc")</f>
        <v xml:space="preserve">   Maroc</v>
      </c>
      <c r="C100">
        <v>5090583</v>
      </c>
      <c r="D100">
        <v>51360</v>
      </c>
    </row>
    <row r="101" spans="1:4" x14ac:dyDescent="0.25">
      <c r="A101" t="str">
        <f>T("091099")</f>
        <v>091099</v>
      </c>
      <c r="B101" t="str">
        <f>T("ÉPICES (SAUF POIVRE [DU GENRE PIPER], PIMENTS DU GENRE CAPSICUM OU DU GENRE PIMENTA, VANILLE, CANNELLE ET FLEURS DE CANNELIER, GIROFLES [ANTOFLES, CLOUS ET GRIFFES], NOIX DE MUSCADE, MACIS, AMOMES ET CARDAMOMES, GRAINES D'ANIS, DE BADIANE, DE FENOUIL, DE")</f>
        <v>ÉPICES (SAUF POIVRE [DU GENRE PIPER], PIMENTS DU GENRE CAPSICUM OU DU GENRE PIMENTA, VANILLE, CANNELLE ET FLEURS DE CANNELIER, GIROFLES [ANTOFLES, CLOUS ET GRIFFES], NOIX DE MUSCADE, MACIS, AMOMES ET CARDAMOMES, GRAINES D'ANIS, DE BADIANE, DE FENOUIL, DE</v>
      </c>
    </row>
    <row r="102" spans="1:4" x14ac:dyDescent="0.25">
      <c r="A102" t="str">
        <f>T("   ZZZ_Monde")</f>
        <v xml:space="preserve">   ZZZ_Monde</v>
      </c>
      <c r="B102" t="str">
        <f>T("   ZZZ_Monde")</f>
        <v xml:space="preserve">   ZZZ_Monde</v>
      </c>
      <c r="C102">
        <v>2418675</v>
      </c>
      <c r="D102">
        <v>34950</v>
      </c>
    </row>
    <row r="103" spans="1:4" x14ac:dyDescent="0.25">
      <c r="A103" t="str">
        <f>T("   IN")</f>
        <v xml:space="preserve">   IN</v>
      </c>
      <c r="B103" t="str">
        <f>T("   Inde")</f>
        <v xml:space="preserve">   Inde</v>
      </c>
      <c r="C103">
        <v>2418675</v>
      </c>
      <c r="D103">
        <v>34950</v>
      </c>
    </row>
    <row r="104" spans="1:4" x14ac:dyDescent="0.25">
      <c r="A104" t="str">
        <f>T("100590")</f>
        <v>100590</v>
      </c>
      <c r="B104" t="str">
        <f>T("Maïs (autre que de semence)")</f>
        <v>Maïs (autre que de semence)</v>
      </c>
    </row>
    <row r="105" spans="1:4" x14ac:dyDescent="0.25">
      <c r="A105" t="str">
        <f>T("   ZZZ_Monde")</f>
        <v xml:space="preserve">   ZZZ_Monde</v>
      </c>
      <c r="B105" t="str">
        <f>T("   ZZZ_Monde")</f>
        <v xml:space="preserve">   ZZZ_Monde</v>
      </c>
      <c r="C105">
        <v>4842211135</v>
      </c>
      <c r="D105">
        <v>27515430</v>
      </c>
    </row>
    <row r="106" spans="1:4" x14ac:dyDescent="0.25">
      <c r="A106" t="str">
        <f>T("   CG")</f>
        <v xml:space="preserve">   CG</v>
      </c>
      <c r="B106" t="str">
        <f>T("   Congo (Brazzaville)")</f>
        <v xml:space="preserve">   Congo (Brazzaville)</v>
      </c>
      <c r="C106">
        <v>1000000</v>
      </c>
      <c r="D106">
        <v>4250</v>
      </c>
    </row>
    <row r="107" spans="1:4" x14ac:dyDescent="0.25">
      <c r="A107" t="str">
        <f>T("   FR")</f>
        <v xml:space="preserve">   FR</v>
      </c>
      <c r="B107" t="str">
        <f>T("   France")</f>
        <v xml:space="preserve">   France</v>
      </c>
      <c r="C107">
        <v>277000</v>
      </c>
      <c r="D107">
        <v>170</v>
      </c>
    </row>
    <row r="108" spans="1:4" x14ac:dyDescent="0.25">
      <c r="A108" t="str">
        <f>T("   NE")</f>
        <v xml:space="preserve">   NE</v>
      </c>
      <c r="B108" t="str">
        <f>T("   Niger")</f>
        <v xml:space="preserve">   Niger</v>
      </c>
      <c r="C108">
        <v>4763748460</v>
      </c>
      <c r="D108">
        <v>27169010</v>
      </c>
    </row>
    <row r="109" spans="1:4" x14ac:dyDescent="0.25">
      <c r="A109" t="str">
        <f>T("   TG")</f>
        <v xml:space="preserve">   TG</v>
      </c>
      <c r="B109" t="str">
        <f>T("   Togo")</f>
        <v xml:space="preserve">   Togo</v>
      </c>
      <c r="C109">
        <v>77185675</v>
      </c>
      <c r="D109">
        <v>342000</v>
      </c>
    </row>
    <row r="110" spans="1:4" x14ac:dyDescent="0.25">
      <c r="A110" t="str">
        <f>T("100610")</f>
        <v>100610</v>
      </c>
      <c r="B110" t="str">
        <f>T("Riz en paille [riz paddy]")</f>
        <v>Riz en paille [riz paddy]</v>
      </c>
    </row>
    <row r="111" spans="1:4" x14ac:dyDescent="0.25">
      <c r="A111" t="str">
        <f>T("   ZZZ_Monde")</f>
        <v xml:space="preserve">   ZZZ_Monde</v>
      </c>
      <c r="B111" t="str">
        <f>T("   ZZZ_Monde")</f>
        <v xml:space="preserve">   ZZZ_Monde</v>
      </c>
      <c r="C111">
        <v>4230000</v>
      </c>
      <c r="D111">
        <v>3000</v>
      </c>
    </row>
    <row r="112" spans="1:4" x14ac:dyDescent="0.25">
      <c r="A112" t="str">
        <f>T("   GA")</f>
        <v xml:space="preserve">   GA</v>
      </c>
      <c r="B112" t="str">
        <f>T("   Gabon")</f>
        <v xml:space="preserve">   Gabon</v>
      </c>
      <c r="C112">
        <v>4230000</v>
      </c>
      <c r="D112">
        <v>3000</v>
      </c>
    </row>
    <row r="113" spans="1:4" x14ac:dyDescent="0.25">
      <c r="A113" t="str">
        <f>T("100620")</f>
        <v>100620</v>
      </c>
      <c r="B113" t="str">
        <f>T("Riz décortiqué [riz cargo ou riz brun]")</f>
        <v>Riz décortiqué [riz cargo ou riz brun]</v>
      </c>
    </row>
    <row r="114" spans="1:4" x14ac:dyDescent="0.25">
      <c r="A114" t="str">
        <f>T("   ZZZ_Monde")</f>
        <v xml:space="preserve">   ZZZ_Monde</v>
      </c>
      <c r="B114" t="str">
        <f>T("   ZZZ_Monde")</f>
        <v xml:space="preserve">   ZZZ_Monde</v>
      </c>
      <c r="C114">
        <v>282000</v>
      </c>
      <c r="D114">
        <v>300</v>
      </c>
    </row>
    <row r="115" spans="1:4" x14ac:dyDescent="0.25">
      <c r="A115" t="str">
        <f>T("   GA")</f>
        <v xml:space="preserve">   GA</v>
      </c>
      <c r="B115" t="str">
        <f>T("   Gabon")</f>
        <v xml:space="preserve">   Gabon</v>
      </c>
      <c r="C115">
        <v>282000</v>
      </c>
      <c r="D115">
        <v>300</v>
      </c>
    </row>
    <row r="116" spans="1:4" x14ac:dyDescent="0.25">
      <c r="A116" t="str">
        <f>T("100630")</f>
        <v>100630</v>
      </c>
      <c r="B116" t="str">
        <f>T("Riz semi-blanchi ou blanchi, même poli ou glacé")</f>
        <v>Riz semi-blanchi ou blanchi, même poli ou glacé</v>
      </c>
    </row>
    <row r="117" spans="1:4" x14ac:dyDescent="0.25">
      <c r="A117" t="str">
        <f>T("   ZZZ_Monde")</f>
        <v xml:space="preserve">   ZZZ_Monde</v>
      </c>
      <c r="B117" t="str">
        <f>T("   ZZZ_Monde")</f>
        <v xml:space="preserve">   ZZZ_Monde</v>
      </c>
      <c r="C117">
        <v>45215180389</v>
      </c>
      <c r="D117">
        <v>552933525</v>
      </c>
    </row>
    <row r="118" spans="1:4" x14ac:dyDescent="0.25">
      <c r="A118" t="str">
        <f>T("   BE")</f>
        <v xml:space="preserve">   BE</v>
      </c>
      <c r="B118" t="str">
        <f>T("   Belgique")</f>
        <v xml:space="preserve">   Belgique</v>
      </c>
      <c r="C118">
        <v>14641027</v>
      </c>
      <c r="D118">
        <v>24000</v>
      </c>
    </row>
    <row r="119" spans="1:4" x14ac:dyDescent="0.25">
      <c r="A119" t="str">
        <f>T("   NE")</f>
        <v xml:space="preserve">   NE</v>
      </c>
      <c r="B119" t="str">
        <f>T("   Niger")</f>
        <v xml:space="preserve">   Niger</v>
      </c>
      <c r="C119">
        <v>4800000</v>
      </c>
      <c r="D119">
        <v>32000</v>
      </c>
    </row>
    <row r="120" spans="1:4" x14ac:dyDescent="0.25">
      <c r="A120" t="str">
        <f>T("   NG")</f>
        <v xml:space="preserve">   NG</v>
      </c>
      <c r="B120" t="str">
        <f>T("   Nigéria")</f>
        <v xml:space="preserve">   Nigéria</v>
      </c>
      <c r="C120">
        <v>45170739362</v>
      </c>
      <c r="D120">
        <v>552377525</v>
      </c>
    </row>
    <row r="121" spans="1:4" x14ac:dyDescent="0.25">
      <c r="A121" t="str">
        <f>T("   TG")</f>
        <v xml:space="preserve">   TG</v>
      </c>
      <c r="B121" t="str">
        <f>T("   Togo")</f>
        <v xml:space="preserve">   Togo</v>
      </c>
      <c r="C121">
        <v>25000000</v>
      </c>
      <c r="D121">
        <v>500000</v>
      </c>
    </row>
    <row r="122" spans="1:4" x14ac:dyDescent="0.25">
      <c r="A122" t="str">
        <f>T("100890")</f>
        <v>100890</v>
      </c>
      <c r="B122" t="str">
        <f>T("Céréales (à l'excl. du froment [blé], du méteil, du seigle, de l'orge, de l'avoine, du maïs, du riz, du sorgho à grains, du sarrasin, du millet et de l'alpiste)")</f>
        <v>Céréales (à l'excl. du froment [blé], du méteil, du seigle, de l'orge, de l'avoine, du maïs, du riz, du sorgho à grains, du sarrasin, du millet et de l'alpiste)</v>
      </c>
    </row>
    <row r="123" spans="1:4" x14ac:dyDescent="0.25">
      <c r="A123" t="str">
        <f>T("   ZZZ_Monde")</f>
        <v xml:space="preserve">   ZZZ_Monde</v>
      </c>
      <c r="B123" t="str">
        <f>T("   ZZZ_Monde")</f>
        <v xml:space="preserve">   ZZZ_Monde</v>
      </c>
      <c r="C123">
        <v>6508000</v>
      </c>
      <c r="D123">
        <v>161900</v>
      </c>
    </row>
    <row r="124" spans="1:4" x14ac:dyDescent="0.25">
      <c r="A124" t="str">
        <f>T("   GA")</f>
        <v xml:space="preserve">   GA</v>
      </c>
      <c r="B124" t="str">
        <f>T("   Gabon")</f>
        <v xml:space="preserve">   Gabon</v>
      </c>
      <c r="C124">
        <v>1020000</v>
      </c>
      <c r="D124">
        <v>5100</v>
      </c>
    </row>
    <row r="125" spans="1:4" x14ac:dyDescent="0.25">
      <c r="A125" t="str">
        <f>T("   NG")</f>
        <v xml:space="preserve">   NG</v>
      </c>
      <c r="B125" t="str">
        <f>T("   Nigéria")</f>
        <v xml:space="preserve">   Nigéria</v>
      </c>
      <c r="C125">
        <v>5488000</v>
      </c>
      <c r="D125">
        <v>156800</v>
      </c>
    </row>
    <row r="126" spans="1:4" x14ac:dyDescent="0.25">
      <c r="A126" t="str">
        <f>T("110100")</f>
        <v>110100</v>
      </c>
      <c r="B126" t="str">
        <f>T("Farines de froment [blé] ou de méteil")</f>
        <v>Farines de froment [blé] ou de méteil</v>
      </c>
    </row>
    <row r="127" spans="1:4" x14ac:dyDescent="0.25">
      <c r="A127" t="str">
        <f>T("   ZZZ_Monde")</f>
        <v xml:space="preserve">   ZZZ_Monde</v>
      </c>
      <c r="B127" t="str">
        <f>T("   ZZZ_Monde")</f>
        <v xml:space="preserve">   ZZZ_Monde</v>
      </c>
      <c r="C127">
        <v>160036800</v>
      </c>
      <c r="D127">
        <v>1000100</v>
      </c>
    </row>
    <row r="128" spans="1:4" x14ac:dyDescent="0.25">
      <c r="A128" t="str">
        <f>T("   BF")</f>
        <v xml:space="preserve">   BF</v>
      </c>
      <c r="B128" t="str">
        <f>T("   Burkina Faso")</f>
        <v xml:space="preserve">   Burkina Faso</v>
      </c>
      <c r="C128">
        <v>44800000</v>
      </c>
      <c r="D128">
        <v>280000</v>
      </c>
    </row>
    <row r="129" spans="1:4" x14ac:dyDescent="0.25">
      <c r="A129" t="str">
        <f>T("   ES")</f>
        <v xml:space="preserve">   ES</v>
      </c>
      <c r="B129" t="str">
        <f>T("   Espagne")</f>
        <v xml:space="preserve">   Espagne</v>
      </c>
      <c r="C129">
        <v>36800</v>
      </c>
      <c r="D129">
        <v>100</v>
      </c>
    </row>
    <row r="130" spans="1:4" x14ac:dyDescent="0.25">
      <c r="A130" t="str">
        <f>T("   NE")</f>
        <v xml:space="preserve">   NE</v>
      </c>
      <c r="B130" t="str">
        <f>T("   Niger")</f>
        <v xml:space="preserve">   Niger</v>
      </c>
      <c r="C130">
        <v>115200000</v>
      </c>
      <c r="D130">
        <v>720000</v>
      </c>
    </row>
    <row r="131" spans="1:4" x14ac:dyDescent="0.25">
      <c r="A131" t="str">
        <f>T("110290")</f>
        <v>110290</v>
      </c>
      <c r="B131" t="str">
        <f>T("FARINES DE CÉRÉALES (À L'EXCL. DES FARINES DE FROMENT [BLÉ], DE MÉTEIL, DE SEIGLE ET DE MAÏS)")</f>
        <v>FARINES DE CÉRÉALES (À L'EXCL. DES FARINES DE FROMENT [BLÉ], DE MÉTEIL, DE SEIGLE ET DE MAÏS)</v>
      </c>
    </row>
    <row r="132" spans="1:4" x14ac:dyDescent="0.25">
      <c r="A132" t="str">
        <f>T("   ZZZ_Monde")</f>
        <v xml:space="preserve">   ZZZ_Monde</v>
      </c>
      <c r="B132" t="str">
        <f>T("   ZZZ_Monde")</f>
        <v xml:space="preserve">   ZZZ_Monde</v>
      </c>
      <c r="C132">
        <v>600000</v>
      </c>
      <c r="D132">
        <v>7000</v>
      </c>
    </row>
    <row r="133" spans="1:4" x14ac:dyDescent="0.25">
      <c r="A133" t="str">
        <f>T("   GA")</f>
        <v xml:space="preserve">   GA</v>
      </c>
      <c r="B133" t="str">
        <f>T("   Gabon")</f>
        <v xml:space="preserve">   Gabon</v>
      </c>
      <c r="C133">
        <v>600000</v>
      </c>
      <c r="D133">
        <v>7000</v>
      </c>
    </row>
    <row r="134" spans="1:4" x14ac:dyDescent="0.25">
      <c r="A134" t="str">
        <f>T("110423")</f>
        <v>110423</v>
      </c>
      <c r="B134" t="str">
        <f>T("Grains de maïs, mondés, perlés, tranchés, concassés ou autrement travaillés (à l'excl. de la farine de maïs)")</f>
        <v>Grains de maïs, mondés, perlés, tranchés, concassés ou autrement travaillés (à l'excl. de la farine de maïs)</v>
      </c>
    </row>
    <row r="135" spans="1:4" x14ac:dyDescent="0.25">
      <c r="A135" t="str">
        <f>T("   ZZZ_Monde")</f>
        <v xml:space="preserve">   ZZZ_Monde</v>
      </c>
      <c r="B135" t="str">
        <f>T("   ZZZ_Monde")</f>
        <v xml:space="preserve">   ZZZ_Monde</v>
      </c>
      <c r="C135">
        <v>67605000</v>
      </c>
      <c r="D135">
        <v>210000</v>
      </c>
    </row>
    <row r="136" spans="1:4" x14ac:dyDescent="0.25">
      <c r="A136" t="str">
        <f>T("   NE")</f>
        <v xml:space="preserve">   NE</v>
      </c>
      <c r="B136" t="str">
        <f>T("   Niger")</f>
        <v xml:space="preserve">   Niger</v>
      </c>
      <c r="C136">
        <v>67605000</v>
      </c>
      <c r="D136">
        <v>210000</v>
      </c>
    </row>
    <row r="137" spans="1:4" x14ac:dyDescent="0.25">
      <c r="A137" t="str">
        <f>T("110620")</f>
        <v>110620</v>
      </c>
      <c r="B137" t="str">
        <f>T("Farines, semoules et poudres de sagou ou des racines ou tubercules du n° 0714")</f>
        <v>Farines, semoules et poudres de sagou ou des racines ou tubercules du n° 0714</v>
      </c>
    </row>
    <row r="138" spans="1:4" x14ac:dyDescent="0.25">
      <c r="A138" t="str">
        <f>T("   ZZZ_Monde")</f>
        <v xml:space="preserve">   ZZZ_Monde</v>
      </c>
      <c r="B138" t="str">
        <f>T("   ZZZ_Monde")</f>
        <v xml:space="preserve">   ZZZ_Monde</v>
      </c>
      <c r="C138">
        <v>33922428</v>
      </c>
      <c r="D138">
        <v>254400</v>
      </c>
    </row>
    <row r="139" spans="1:4" x14ac:dyDescent="0.25">
      <c r="A139" t="str">
        <f>T("   CG")</f>
        <v xml:space="preserve">   CG</v>
      </c>
      <c r="B139" t="str">
        <f>T("   Congo (Brazzaville)")</f>
        <v xml:space="preserve">   Congo (Brazzaville)</v>
      </c>
      <c r="C139">
        <v>1435000</v>
      </c>
      <c r="D139">
        <v>8750</v>
      </c>
    </row>
    <row r="140" spans="1:4" x14ac:dyDescent="0.25">
      <c r="A140" t="str">
        <f>T("   FR")</f>
        <v xml:space="preserve">   FR</v>
      </c>
      <c r="B140" t="str">
        <f>T("   France")</f>
        <v xml:space="preserve">   France</v>
      </c>
      <c r="C140">
        <v>6585678</v>
      </c>
      <c r="D140">
        <v>24600</v>
      </c>
    </row>
    <row r="141" spans="1:4" x14ac:dyDescent="0.25">
      <c r="A141" t="str">
        <f>T("   GA")</f>
        <v xml:space="preserve">   GA</v>
      </c>
      <c r="B141" t="str">
        <f>T("   Gabon")</f>
        <v xml:space="preserve">   Gabon</v>
      </c>
      <c r="C141">
        <v>23314250</v>
      </c>
      <c r="D141">
        <v>202800</v>
      </c>
    </row>
    <row r="142" spans="1:4" x14ac:dyDescent="0.25">
      <c r="A142" t="str">
        <f>T("   GB")</f>
        <v xml:space="preserve">   GB</v>
      </c>
      <c r="B142" t="str">
        <f>T("   Royaume-Uni")</f>
        <v xml:space="preserve">   Royaume-Uni</v>
      </c>
      <c r="C142">
        <v>1687500</v>
      </c>
      <c r="D142">
        <v>11250</v>
      </c>
    </row>
    <row r="143" spans="1:4" x14ac:dyDescent="0.25">
      <c r="A143" t="str">
        <f>T("   SN")</f>
        <v xml:space="preserve">   SN</v>
      </c>
      <c r="B143" t="str">
        <f>T("   Sénégal")</f>
        <v xml:space="preserve">   Sénégal</v>
      </c>
      <c r="C143">
        <v>900000</v>
      </c>
      <c r="D143">
        <v>7000</v>
      </c>
    </row>
    <row r="144" spans="1:4" x14ac:dyDescent="0.25">
      <c r="A144" t="str">
        <f>T("120100")</f>
        <v>120100</v>
      </c>
      <c r="B144" t="str">
        <f>T("Fèves de soja, même concassées")</f>
        <v>Fèves de soja, même concassées</v>
      </c>
    </row>
    <row r="145" spans="1:4" x14ac:dyDescent="0.25">
      <c r="A145" t="str">
        <f>T("   ZZZ_Monde")</f>
        <v xml:space="preserve">   ZZZ_Monde</v>
      </c>
      <c r="B145" t="str">
        <f>T("   ZZZ_Monde")</f>
        <v xml:space="preserve">   ZZZ_Monde</v>
      </c>
      <c r="C145">
        <v>14245905</v>
      </c>
      <c r="D145">
        <v>286575</v>
      </c>
    </row>
    <row r="146" spans="1:4" x14ac:dyDescent="0.25">
      <c r="A146" t="str">
        <f>T("   GH")</f>
        <v xml:space="preserve">   GH</v>
      </c>
      <c r="B146" t="str">
        <f>T("   Ghana")</f>
        <v xml:space="preserve">   Ghana</v>
      </c>
      <c r="C146">
        <v>8100030</v>
      </c>
      <c r="D146">
        <v>180000</v>
      </c>
    </row>
    <row r="147" spans="1:4" x14ac:dyDescent="0.25">
      <c r="A147" t="str">
        <f>T("   TG")</f>
        <v xml:space="preserve">   TG</v>
      </c>
      <c r="B147" t="str">
        <f>T("   Togo")</f>
        <v xml:space="preserve">   Togo</v>
      </c>
      <c r="C147">
        <v>6145875</v>
      </c>
      <c r="D147">
        <v>106575</v>
      </c>
    </row>
    <row r="148" spans="1:4" x14ac:dyDescent="0.25">
      <c r="A148" t="str">
        <f>T("120710")</f>
        <v>120710</v>
      </c>
      <c r="B148" t="str">
        <f>T("NOIX ET AMANDES DE PALMISTES")</f>
        <v>NOIX ET AMANDES DE PALMISTES</v>
      </c>
    </row>
    <row r="149" spans="1:4" x14ac:dyDescent="0.25">
      <c r="A149" t="str">
        <f>T("   ZZZ_Monde")</f>
        <v xml:space="preserve">   ZZZ_Monde</v>
      </c>
      <c r="B149" t="str">
        <f>T("   ZZZ_Monde")</f>
        <v xml:space="preserve">   ZZZ_Monde</v>
      </c>
      <c r="C149">
        <v>846350325</v>
      </c>
      <c r="D149">
        <v>489621.5</v>
      </c>
    </row>
    <row r="150" spans="1:4" x14ac:dyDescent="0.25">
      <c r="A150" t="str">
        <f>T("   BE")</f>
        <v xml:space="preserve">   BE</v>
      </c>
      <c r="B150" t="str">
        <f>T("   Belgique")</f>
        <v xml:space="preserve">   Belgique</v>
      </c>
      <c r="C150">
        <v>204377311</v>
      </c>
      <c r="D150">
        <v>1832</v>
      </c>
    </row>
    <row r="151" spans="1:4" x14ac:dyDescent="0.25">
      <c r="A151" t="str">
        <f>T("   CO")</f>
        <v xml:space="preserve">   CO</v>
      </c>
      <c r="B151" t="str">
        <f>T("   Colombie")</f>
        <v xml:space="preserve">   Colombie</v>
      </c>
      <c r="C151">
        <v>6659570</v>
      </c>
      <c r="D151">
        <v>421</v>
      </c>
    </row>
    <row r="152" spans="1:4" x14ac:dyDescent="0.25">
      <c r="A152" t="str">
        <f>T("   EC")</f>
        <v xml:space="preserve">   EC</v>
      </c>
      <c r="B152" t="str">
        <f>T("   Equateur")</f>
        <v xml:space="preserve">   Equateur</v>
      </c>
      <c r="C152">
        <v>150990111</v>
      </c>
      <c r="D152">
        <v>3750.5</v>
      </c>
    </row>
    <row r="153" spans="1:4" x14ac:dyDescent="0.25">
      <c r="A153" t="str">
        <f>T("   GA")</f>
        <v xml:space="preserve">   GA</v>
      </c>
      <c r="B153" t="str">
        <f>T("   Gabon")</f>
        <v xml:space="preserve">   Gabon</v>
      </c>
      <c r="C153">
        <v>33453807</v>
      </c>
      <c r="D153">
        <v>374</v>
      </c>
    </row>
    <row r="154" spans="1:4" x14ac:dyDescent="0.25">
      <c r="A154" t="str">
        <f>T("   HK")</f>
        <v xml:space="preserve">   HK</v>
      </c>
      <c r="B154" t="str">
        <f>T("   Hong-Kong")</f>
        <v xml:space="preserve">   Hong-Kong</v>
      </c>
      <c r="C154">
        <v>2000000</v>
      </c>
      <c r="D154">
        <v>14000</v>
      </c>
    </row>
    <row r="155" spans="1:4" x14ac:dyDescent="0.25">
      <c r="A155" t="str">
        <f>T("   IN")</f>
        <v xml:space="preserve">   IN</v>
      </c>
      <c r="B155" t="str">
        <f>T("   Inde")</f>
        <v xml:space="preserve">   Inde</v>
      </c>
      <c r="C155">
        <v>127911615</v>
      </c>
      <c r="D155">
        <v>1176</v>
      </c>
    </row>
    <row r="156" spans="1:4" x14ac:dyDescent="0.25">
      <c r="A156" t="str">
        <f>T("   NE")</f>
        <v xml:space="preserve">   NE</v>
      </c>
      <c r="B156" t="str">
        <f>T("   Niger")</f>
        <v xml:space="preserve">   Niger</v>
      </c>
      <c r="C156">
        <v>19677792</v>
      </c>
      <c r="D156">
        <v>204977</v>
      </c>
    </row>
    <row r="157" spans="1:4" x14ac:dyDescent="0.25">
      <c r="A157" t="str">
        <f>T("   NG")</f>
        <v xml:space="preserve">   NG</v>
      </c>
      <c r="B157" t="str">
        <f>T("   Nigéria")</f>
        <v xml:space="preserve">   Nigéria</v>
      </c>
      <c r="C157">
        <v>64524530</v>
      </c>
      <c r="D157">
        <v>160792</v>
      </c>
    </row>
    <row r="158" spans="1:4" x14ac:dyDescent="0.25">
      <c r="A158" t="str">
        <f>T("   PE")</f>
        <v xml:space="preserve">   PE</v>
      </c>
      <c r="B158" t="str">
        <f>T("   Pérou")</f>
        <v xml:space="preserve">   Pérou</v>
      </c>
      <c r="C158">
        <v>20223476</v>
      </c>
      <c r="D158">
        <v>472</v>
      </c>
    </row>
    <row r="159" spans="1:4" x14ac:dyDescent="0.25">
      <c r="A159" t="str">
        <f>T("   SG")</f>
        <v xml:space="preserve">   SG</v>
      </c>
      <c r="B159" t="str">
        <f>T("   Singapour")</f>
        <v xml:space="preserve">   Singapour</v>
      </c>
      <c r="C159">
        <v>4000000</v>
      </c>
      <c r="D159">
        <v>28000</v>
      </c>
    </row>
    <row r="160" spans="1:4" x14ac:dyDescent="0.25">
      <c r="A160" t="str">
        <f>T("   TG")</f>
        <v xml:space="preserve">   TG</v>
      </c>
      <c r="B160" t="str">
        <f>T("   Togo")</f>
        <v xml:space="preserve">   Togo</v>
      </c>
      <c r="C160">
        <v>43293162</v>
      </c>
      <c r="D160">
        <v>572</v>
      </c>
    </row>
    <row r="161" spans="1:4" x14ac:dyDescent="0.25">
      <c r="A161" t="str">
        <f>T("   TH")</f>
        <v xml:space="preserve">   TH</v>
      </c>
      <c r="B161" t="str">
        <f>T("   Thaïlande")</f>
        <v xml:space="preserve">   Thaïlande</v>
      </c>
      <c r="C161">
        <v>169238951</v>
      </c>
      <c r="D161">
        <v>73255</v>
      </c>
    </row>
    <row r="162" spans="1:4" x14ac:dyDescent="0.25">
      <c r="A162" t="str">
        <f>T("120720")</f>
        <v>120720</v>
      </c>
      <c r="B162" t="str">
        <f>T("Graines de coton, même concassées")</f>
        <v>Graines de coton, même concassées</v>
      </c>
    </row>
    <row r="163" spans="1:4" x14ac:dyDescent="0.25">
      <c r="A163" t="str">
        <f>T("   ZZZ_Monde")</f>
        <v xml:space="preserve">   ZZZ_Monde</v>
      </c>
      <c r="B163" t="str">
        <f>T("   ZZZ_Monde")</f>
        <v xml:space="preserve">   ZZZ_Monde</v>
      </c>
      <c r="C163">
        <v>2146329144</v>
      </c>
      <c r="D163">
        <v>18135075</v>
      </c>
    </row>
    <row r="164" spans="1:4" x14ac:dyDescent="0.25">
      <c r="A164" t="str">
        <f>T("   IT")</f>
        <v xml:space="preserve">   IT</v>
      </c>
      <c r="B164" t="str">
        <f>T("   Italie")</f>
        <v xml:space="preserve">   Italie</v>
      </c>
      <c r="C164">
        <v>1844167768</v>
      </c>
      <c r="D164">
        <v>15502246</v>
      </c>
    </row>
    <row r="165" spans="1:4" x14ac:dyDescent="0.25">
      <c r="A165" t="str">
        <f>T("   NE")</f>
        <v xml:space="preserve">   NE</v>
      </c>
      <c r="B165" t="str">
        <f>T("   Niger")</f>
        <v xml:space="preserve">   Niger</v>
      </c>
      <c r="C165">
        <v>190513658</v>
      </c>
      <c r="D165">
        <v>1531279</v>
      </c>
    </row>
    <row r="166" spans="1:4" x14ac:dyDescent="0.25">
      <c r="A166" t="str">
        <f>T("   NG")</f>
        <v xml:space="preserve">   NG</v>
      </c>
      <c r="B166" t="str">
        <f>T("   Nigéria")</f>
        <v xml:space="preserve">   Nigéria</v>
      </c>
      <c r="C166">
        <v>111647718</v>
      </c>
      <c r="D166">
        <v>1101550</v>
      </c>
    </row>
    <row r="167" spans="1:4" x14ac:dyDescent="0.25">
      <c r="A167" t="str">
        <f>T("120740")</f>
        <v>120740</v>
      </c>
      <c r="B167" t="str">
        <f>T("Graines de sésame, même concassées")</f>
        <v>Graines de sésame, même concassées</v>
      </c>
    </row>
    <row r="168" spans="1:4" x14ac:dyDescent="0.25">
      <c r="A168" t="str">
        <f>T("   ZZZ_Monde")</f>
        <v xml:space="preserve">   ZZZ_Monde</v>
      </c>
      <c r="B168" t="str">
        <f>T("   ZZZ_Monde")</f>
        <v xml:space="preserve">   ZZZ_Monde</v>
      </c>
      <c r="C168">
        <v>9481000</v>
      </c>
      <c r="D168">
        <v>94810</v>
      </c>
    </row>
    <row r="169" spans="1:4" x14ac:dyDescent="0.25">
      <c r="A169" t="str">
        <f>T("   TR")</f>
        <v xml:space="preserve">   TR</v>
      </c>
      <c r="B169" t="str">
        <f>T("   Turquie")</f>
        <v xml:space="preserve">   Turquie</v>
      </c>
      <c r="C169">
        <v>9481000</v>
      </c>
      <c r="D169">
        <v>94810</v>
      </c>
    </row>
    <row r="170" spans="1:4" x14ac:dyDescent="0.25">
      <c r="A170" t="str">
        <f>T("120810")</f>
        <v>120810</v>
      </c>
      <c r="B170" t="str">
        <f>T("Farine de fèves de soja")</f>
        <v>Farine de fèves de soja</v>
      </c>
    </row>
    <row r="171" spans="1:4" x14ac:dyDescent="0.25">
      <c r="A171" t="str">
        <f>T("   ZZZ_Monde")</f>
        <v xml:space="preserve">   ZZZ_Monde</v>
      </c>
      <c r="B171" t="str">
        <f>T("   ZZZ_Monde")</f>
        <v xml:space="preserve">   ZZZ_Monde</v>
      </c>
      <c r="C171">
        <v>1337625</v>
      </c>
      <c r="D171">
        <v>29725</v>
      </c>
    </row>
    <row r="172" spans="1:4" x14ac:dyDescent="0.25">
      <c r="A172" t="str">
        <f>T("   GH")</f>
        <v xml:space="preserve">   GH</v>
      </c>
      <c r="B172" t="str">
        <f>T("   Ghana")</f>
        <v xml:space="preserve">   Ghana</v>
      </c>
      <c r="C172">
        <v>1337625</v>
      </c>
      <c r="D172">
        <v>29725</v>
      </c>
    </row>
    <row r="173" spans="1:4" x14ac:dyDescent="0.25">
      <c r="A173" t="str">
        <f>T("121190")</f>
        <v>121190</v>
      </c>
      <c r="B173" t="str">
        <f>T("PLANTES, PARTIES DE PLANTES, GRAINES ET FRUITS DES ESPÈCES UTILISÉES PRINCIPALEMENT EN PARFUMERIE, EN MÉDECINE OU À USAGES INSECTICIDES, PARASITICIDES OU SIMIL., FRAIS OU SECS, MÊME COUPÉS, CONCASSÉS OU PULVÉRISÉS (À L'EXCL. DES RACINES DE GINSENG, DES FE")</f>
        <v>PLANTES, PARTIES DE PLANTES, GRAINES ET FRUITS DES ESPÈCES UTILISÉES PRINCIPALEMENT EN PARFUMERIE, EN MÉDECINE OU À USAGES INSECTICIDES, PARASITICIDES OU SIMIL., FRAIS OU SECS, MÊME COUPÉS, CONCASSÉS OU PULVÉRISÉS (À L'EXCL. DES RACINES DE GINSENG, DES FE</v>
      </c>
    </row>
    <row r="174" spans="1:4" x14ac:dyDescent="0.25">
      <c r="A174" t="str">
        <f>T("   ZZZ_Monde")</f>
        <v xml:space="preserve">   ZZZ_Monde</v>
      </c>
      <c r="B174" t="str">
        <f>T("   ZZZ_Monde")</f>
        <v xml:space="preserve">   ZZZ_Monde</v>
      </c>
      <c r="C174">
        <v>125000</v>
      </c>
      <c r="D174">
        <v>1250</v>
      </c>
    </row>
    <row r="175" spans="1:4" x14ac:dyDescent="0.25">
      <c r="A175" t="str">
        <f>T("   GA")</f>
        <v xml:space="preserve">   GA</v>
      </c>
      <c r="B175" t="str">
        <f>T("   Gabon")</f>
        <v xml:space="preserve">   Gabon</v>
      </c>
      <c r="C175">
        <v>125000</v>
      </c>
      <c r="D175">
        <v>1250</v>
      </c>
    </row>
    <row r="176" spans="1:4" x14ac:dyDescent="0.25">
      <c r="A176" t="str">
        <f>T("130120")</f>
        <v>130120</v>
      </c>
      <c r="B176" t="str">
        <f>T("Gomme arabique")</f>
        <v>Gomme arabique</v>
      </c>
    </row>
    <row r="177" spans="1:4" x14ac:dyDescent="0.25">
      <c r="A177" t="str">
        <f>T("   ZZZ_Monde")</f>
        <v xml:space="preserve">   ZZZ_Monde</v>
      </c>
      <c r="B177" t="str">
        <f>T("   ZZZ_Monde")</f>
        <v xml:space="preserve">   ZZZ_Monde</v>
      </c>
      <c r="C177">
        <v>9600000</v>
      </c>
      <c r="D177">
        <v>44000</v>
      </c>
    </row>
    <row r="178" spans="1:4" x14ac:dyDescent="0.25">
      <c r="A178" t="str">
        <f>T("   FR")</f>
        <v xml:space="preserve">   FR</v>
      </c>
      <c r="B178" t="str">
        <f>T("   France")</f>
        <v xml:space="preserve">   France</v>
      </c>
      <c r="C178">
        <v>9600000</v>
      </c>
      <c r="D178">
        <v>44000</v>
      </c>
    </row>
    <row r="179" spans="1:4" x14ac:dyDescent="0.25">
      <c r="A179" t="str">
        <f>T("140420")</f>
        <v>140420</v>
      </c>
      <c r="B179" t="str">
        <f>T("Linters de coton")</f>
        <v>Linters de coton</v>
      </c>
    </row>
    <row r="180" spans="1:4" x14ac:dyDescent="0.25">
      <c r="A180" t="str">
        <f>T("   ZZZ_Monde")</f>
        <v xml:space="preserve">   ZZZ_Monde</v>
      </c>
      <c r="B180" t="str">
        <f>T("   ZZZ_Monde")</f>
        <v xml:space="preserve">   ZZZ_Monde</v>
      </c>
      <c r="C180">
        <v>545906381</v>
      </c>
      <c r="D180">
        <v>1702148</v>
      </c>
    </row>
    <row r="181" spans="1:4" x14ac:dyDescent="0.25">
      <c r="A181" t="str">
        <f>T("   CN")</f>
        <v xml:space="preserve">   CN</v>
      </c>
      <c r="B181" t="str">
        <f>T("   Chine")</f>
        <v xml:space="preserve">   Chine</v>
      </c>
      <c r="C181">
        <v>545906381</v>
      </c>
      <c r="D181">
        <v>1702148</v>
      </c>
    </row>
    <row r="182" spans="1:4" x14ac:dyDescent="0.25">
      <c r="A182" t="str">
        <f>T("140490")</f>
        <v>140490</v>
      </c>
      <c r="B182" t="str">
        <f>T("Produits végétaux, n.d.a.")</f>
        <v>Produits végétaux, n.d.a.</v>
      </c>
    </row>
    <row r="183" spans="1:4" x14ac:dyDescent="0.25">
      <c r="A183" t="str">
        <f>T("   ZZZ_Monde")</f>
        <v xml:space="preserve">   ZZZ_Monde</v>
      </c>
      <c r="B183" t="str">
        <f>T("   ZZZ_Monde")</f>
        <v xml:space="preserve">   ZZZ_Monde</v>
      </c>
      <c r="C183">
        <v>3000</v>
      </c>
      <c r="D183">
        <v>10</v>
      </c>
    </row>
    <row r="184" spans="1:4" x14ac:dyDescent="0.25">
      <c r="A184" t="str">
        <f>T("   FR")</f>
        <v xml:space="preserve">   FR</v>
      </c>
      <c r="B184" t="str">
        <f>T("   France")</f>
        <v xml:space="preserve">   France</v>
      </c>
      <c r="C184">
        <v>3000</v>
      </c>
      <c r="D184">
        <v>10</v>
      </c>
    </row>
    <row r="185" spans="1:4" x14ac:dyDescent="0.25">
      <c r="A185" t="str">
        <f>T("150790")</f>
        <v>150790</v>
      </c>
      <c r="B185" t="str">
        <f>T("Huile de soja et ses fractions, même raffinées, mais non chimiquement modifiées (à l'excl. de l'huile de soja brute)")</f>
        <v>Huile de soja et ses fractions, même raffinées, mais non chimiquement modifiées (à l'excl. de l'huile de soja brute)</v>
      </c>
    </row>
    <row r="186" spans="1:4" x14ac:dyDescent="0.25">
      <c r="A186" t="str">
        <f>T("   ZZZ_Monde")</f>
        <v xml:space="preserve">   ZZZ_Monde</v>
      </c>
      <c r="B186" t="str">
        <f>T("   ZZZ_Monde")</f>
        <v xml:space="preserve">   ZZZ_Monde</v>
      </c>
      <c r="C186">
        <v>53882400</v>
      </c>
      <c r="D186">
        <v>101620</v>
      </c>
    </row>
    <row r="187" spans="1:4" x14ac:dyDescent="0.25">
      <c r="A187" t="str">
        <f>T("   NG")</f>
        <v xml:space="preserve">   NG</v>
      </c>
      <c r="B187" t="str">
        <f>T("   Nigéria")</f>
        <v xml:space="preserve">   Nigéria</v>
      </c>
      <c r="C187">
        <v>53882400</v>
      </c>
      <c r="D187">
        <v>101620</v>
      </c>
    </row>
    <row r="188" spans="1:4" x14ac:dyDescent="0.25">
      <c r="A188" t="str">
        <f>T("151110")</f>
        <v>151110</v>
      </c>
      <c r="B188" t="str">
        <f>T("Huile de palme, brute")</f>
        <v>Huile de palme, brute</v>
      </c>
    </row>
    <row r="189" spans="1:4" x14ac:dyDescent="0.25">
      <c r="A189" t="str">
        <f>T("   ZZZ_Monde")</f>
        <v xml:space="preserve">   ZZZ_Monde</v>
      </c>
      <c r="B189" t="str">
        <f>T("   ZZZ_Monde")</f>
        <v xml:space="preserve">   ZZZ_Monde</v>
      </c>
      <c r="C189">
        <v>976658620</v>
      </c>
      <c r="D189">
        <v>2182590</v>
      </c>
    </row>
    <row r="190" spans="1:4" x14ac:dyDescent="0.25">
      <c r="A190" t="str">
        <f>T("   NF")</f>
        <v xml:space="preserve">   NF</v>
      </c>
      <c r="B190" t="str">
        <f>T("   Norfolk, île")</f>
        <v xml:space="preserve">   Norfolk, île</v>
      </c>
      <c r="C190">
        <v>26997600</v>
      </c>
      <c r="D190">
        <v>64280</v>
      </c>
    </row>
    <row r="191" spans="1:4" x14ac:dyDescent="0.25">
      <c r="A191" t="str">
        <f>T("   NG")</f>
        <v xml:space="preserve">   NG</v>
      </c>
      <c r="B191" t="str">
        <f>T("   Nigéria")</f>
        <v xml:space="preserve">   Nigéria</v>
      </c>
      <c r="C191">
        <v>949529020</v>
      </c>
      <c r="D191">
        <v>2117870</v>
      </c>
    </row>
    <row r="192" spans="1:4" x14ac:dyDescent="0.25">
      <c r="A192" t="str">
        <f>T("   SN")</f>
        <v xml:space="preserve">   SN</v>
      </c>
      <c r="B192" t="str">
        <f>T("   Sénégal")</f>
        <v xml:space="preserve">   Sénégal</v>
      </c>
      <c r="C192">
        <v>132000</v>
      </c>
      <c r="D192">
        <v>440</v>
      </c>
    </row>
    <row r="193" spans="1:4" x14ac:dyDescent="0.25">
      <c r="A193" t="str">
        <f>T("151190")</f>
        <v>151190</v>
      </c>
      <c r="B193" t="str">
        <f>T("Huile de palme et ses fractions, même raffinées, mais non chimiquement modifiées (à l'excl. de l'huile de palme brute)")</f>
        <v>Huile de palme et ses fractions, même raffinées, mais non chimiquement modifiées (à l'excl. de l'huile de palme brute)</v>
      </c>
    </row>
    <row r="194" spans="1:4" x14ac:dyDescent="0.25">
      <c r="A194" t="str">
        <f>T("   ZZZ_Monde")</f>
        <v xml:space="preserve">   ZZZ_Monde</v>
      </c>
      <c r="B194" t="str">
        <f>T("   ZZZ_Monde")</f>
        <v xml:space="preserve">   ZZZ_Monde</v>
      </c>
      <c r="C194">
        <v>1708827248</v>
      </c>
      <c r="D194">
        <v>3762267</v>
      </c>
    </row>
    <row r="195" spans="1:4" x14ac:dyDescent="0.25">
      <c r="A195" t="str">
        <f>T("   NG")</f>
        <v xml:space="preserve">   NG</v>
      </c>
      <c r="B195" t="str">
        <f>T("   Nigéria")</f>
        <v xml:space="preserve">   Nigéria</v>
      </c>
      <c r="C195">
        <v>1692042735</v>
      </c>
      <c r="D195">
        <v>3736267</v>
      </c>
    </row>
    <row r="196" spans="1:4" x14ac:dyDescent="0.25">
      <c r="A196" t="str">
        <f>T("   TG")</f>
        <v xml:space="preserve">   TG</v>
      </c>
      <c r="B196" t="str">
        <f>T("   Togo")</f>
        <v xml:space="preserve">   Togo</v>
      </c>
      <c r="C196">
        <v>16784513</v>
      </c>
      <c r="D196">
        <v>26000</v>
      </c>
    </row>
    <row r="197" spans="1:4" x14ac:dyDescent="0.25">
      <c r="A197" t="str">
        <f>T("151219")</f>
        <v>151219</v>
      </c>
      <c r="B197" t="str">
        <f>T("Huiles de tournesol ou de carthame et leurs fractions, même raffinées, mais non chimiquement modifiées (à l'excl. des huiles brutes)")</f>
        <v>Huiles de tournesol ou de carthame et leurs fractions, même raffinées, mais non chimiquement modifiées (à l'excl. des huiles brutes)</v>
      </c>
    </row>
    <row r="198" spans="1:4" x14ac:dyDescent="0.25">
      <c r="A198" t="str">
        <f>T("   ZZZ_Monde")</f>
        <v xml:space="preserve">   ZZZ_Monde</v>
      </c>
      <c r="B198" t="str">
        <f>T("   ZZZ_Monde")</f>
        <v xml:space="preserve">   ZZZ_Monde</v>
      </c>
      <c r="C198">
        <v>150756583</v>
      </c>
      <c r="D198">
        <v>475380</v>
      </c>
    </row>
    <row r="199" spans="1:4" x14ac:dyDescent="0.25">
      <c r="A199" t="str">
        <f>T("   IN")</f>
        <v xml:space="preserve">   IN</v>
      </c>
      <c r="B199" t="str">
        <f>T("   Inde")</f>
        <v xml:space="preserve">   Inde</v>
      </c>
      <c r="C199">
        <v>150756583</v>
      </c>
      <c r="D199">
        <v>475380</v>
      </c>
    </row>
    <row r="200" spans="1:4" x14ac:dyDescent="0.25">
      <c r="A200" t="str">
        <f>T("151229")</f>
        <v>151229</v>
      </c>
      <c r="B200" t="str">
        <f>T("Huile de coton et ses fractions, même dépourvues de gossipol ou raffinées, mais non chimiquement modifiées (à l'excl. de l'huile de coton brute)")</f>
        <v>Huile de coton et ses fractions, même dépourvues de gossipol ou raffinées, mais non chimiquement modifiées (à l'excl. de l'huile de coton brute)</v>
      </c>
    </row>
    <row r="201" spans="1:4" x14ac:dyDescent="0.25">
      <c r="A201" t="str">
        <f>T("   ZZZ_Monde")</f>
        <v xml:space="preserve">   ZZZ_Monde</v>
      </c>
      <c r="B201" t="str">
        <f>T("   ZZZ_Monde")</f>
        <v xml:space="preserve">   ZZZ_Monde</v>
      </c>
      <c r="C201">
        <v>2927668510</v>
      </c>
      <c r="D201">
        <v>4770442</v>
      </c>
    </row>
    <row r="202" spans="1:4" x14ac:dyDescent="0.25">
      <c r="A202" t="str">
        <f>T("   NG")</f>
        <v xml:space="preserve">   NG</v>
      </c>
      <c r="B202" t="str">
        <f>T("   Nigéria")</f>
        <v xml:space="preserve">   Nigéria</v>
      </c>
      <c r="C202">
        <v>2927668510</v>
      </c>
      <c r="D202">
        <v>4770442</v>
      </c>
    </row>
    <row r="203" spans="1:4" x14ac:dyDescent="0.25">
      <c r="A203" t="str">
        <f>T("151311")</f>
        <v>151311</v>
      </c>
      <c r="B203" t="str">
        <f>T("Huile de coco [coprah], brute")</f>
        <v>Huile de coco [coprah], brute</v>
      </c>
    </row>
    <row r="204" spans="1:4" x14ac:dyDescent="0.25">
      <c r="A204" t="str">
        <f>T("   ZZZ_Monde")</f>
        <v xml:space="preserve">   ZZZ_Monde</v>
      </c>
      <c r="B204" t="str">
        <f>T("   ZZZ_Monde")</f>
        <v xml:space="preserve">   ZZZ_Monde</v>
      </c>
      <c r="C204">
        <v>400000</v>
      </c>
      <c r="D204">
        <v>450</v>
      </c>
    </row>
    <row r="205" spans="1:4" x14ac:dyDescent="0.25">
      <c r="A205" t="str">
        <f>T("   FR")</f>
        <v xml:space="preserve">   FR</v>
      </c>
      <c r="B205" t="str">
        <f>T("   France")</f>
        <v xml:space="preserve">   France</v>
      </c>
      <c r="C205">
        <v>400000</v>
      </c>
      <c r="D205">
        <v>450</v>
      </c>
    </row>
    <row r="206" spans="1:4" x14ac:dyDescent="0.25">
      <c r="A206" t="str">
        <f>T("151321")</f>
        <v>151321</v>
      </c>
      <c r="B206" t="str">
        <f>T("Huiles de palmiste ou de babassu, brutes")</f>
        <v>Huiles de palmiste ou de babassu, brutes</v>
      </c>
    </row>
    <row r="207" spans="1:4" x14ac:dyDescent="0.25">
      <c r="A207" t="str">
        <f>T("   ZZZ_Monde")</f>
        <v xml:space="preserve">   ZZZ_Monde</v>
      </c>
      <c r="B207" t="str">
        <f>T("   ZZZ_Monde")</f>
        <v xml:space="preserve">   ZZZ_Monde</v>
      </c>
      <c r="C207">
        <v>36000</v>
      </c>
      <c r="D207">
        <v>22</v>
      </c>
    </row>
    <row r="208" spans="1:4" x14ac:dyDescent="0.25">
      <c r="A208" t="str">
        <f>T("   FR")</f>
        <v xml:space="preserve">   FR</v>
      </c>
      <c r="B208" t="str">
        <f>T("   France")</f>
        <v xml:space="preserve">   France</v>
      </c>
      <c r="C208">
        <v>36000</v>
      </c>
      <c r="D208">
        <v>22</v>
      </c>
    </row>
    <row r="209" spans="1:4" x14ac:dyDescent="0.25">
      <c r="A209" t="str">
        <f>T("151590")</f>
        <v>151590</v>
      </c>
      <c r="B209" t="str">
        <f>T("Graisses et huiles végétales et leurs fractions, fixes, même raffinées, mais non chimiquement modifiées (à l'excl. des huiles de soja, d'arachide, d'olive, de palme, de tournesol, de carthame, de coton, de coco [coprah], de palmiste, de babassu, de navett")</f>
        <v>Graisses et huiles végétales et leurs fractions, fixes, même raffinées, mais non chimiquement modifiées (à l'excl. des huiles de soja, d'arachide, d'olive, de palme, de tournesol, de carthame, de coton, de coco [coprah], de palmiste, de babassu, de navett</v>
      </c>
    </row>
    <row r="210" spans="1:4" x14ac:dyDescent="0.25">
      <c r="A210" t="str">
        <f>T("   ZZZ_Monde")</f>
        <v xml:space="preserve">   ZZZ_Monde</v>
      </c>
      <c r="B210" t="str">
        <f>T("   ZZZ_Monde")</f>
        <v xml:space="preserve">   ZZZ_Monde</v>
      </c>
      <c r="C210">
        <v>784858983</v>
      </c>
      <c r="D210">
        <v>248059.8</v>
      </c>
    </row>
    <row r="211" spans="1:4" x14ac:dyDescent="0.25">
      <c r="A211" t="str">
        <f>T("   CN")</f>
        <v xml:space="preserve">   CN</v>
      </c>
      <c r="B211" t="str">
        <f>T("   Chine")</f>
        <v xml:space="preserve">   Chine</v>
      </c>
      <c r="C211">
        <v>71242220</v>
      </c>
      <c r="D211">
        <v>8500.8700000000008</v>
      </c>
    </row>
    <row r="212" spans="1:4" x14ac:dyDescent="0.25">
      <c r="A212" t="str">
        <f>T("   FR")</f>
        <v xml:space="preserve">   FR</v>
      </c>
      <c r="B212" t="str">
        <f>T("   France")</f>
        <v xml:space="preserve">   France</v>
      </c>
      <c r="C212">
        <v>1300000</v>
      </c>
      <c r="D212">
        <v>2098</v>
      </c>
    </row>
    <row r="213" spans="1:4" x14ac:dyDescent="0.25">
      <c r="A213" t="str">
        <f>T("   GP")</f>
        <v xml:space="preserve">   GP</v>
      </c>
      <c r="B213" t="str">
        <f>T("   Guadeloupe")</f>
        <v xml:space="preserve">   Guadeloupe</v>
      </c>
      <c r="C213">
        <v>700000</v>
      </c>
      <c r="D213">
        <v>297</v>
      </c>
    </row>
    <row r="214" spans="1:4" x14ac:dyDescent="0.25">
      <c r="A214" t="str">
        <f>T("   IN")</f>
        <v xml:space="preserve">   IN</v>
      </c>
      <c r="B214" t="str">
        <f>T("   Inde")</f>
        <v xml:space="preserve">   Inde</v>
      </c>
      <c r="C214">
        <v>606612720</v>
      </c>
      <c r="D214">
        <v>4332.93</v>
      </c>
    </row>
    <row r="215" spans="1:4" x14ac:dyDescent="0.25">
      <c r="A215" t="str">
        <f>T("   MY")</f>
        <v xml:space="preserve">   MY</v>
      </c>
      <c r="B215" t="str">
        <f>T("   Malaisie")</f>
        <v xml:space="preserve">   Malaisie</v>
      </c>
      <c r="C215">
        <v>88707553</v>
      </c>
      <c r="D215">
        <v>205620</v>
      </c>
    </row>
    <row r="216" spans="1:4" x14ac:dyDescent="0.25">
      <c r="A216" t="str">
        <f>T("   TG")</f>
        <v xml:space="preserve">   TG</v>
      </c>
      <c r="B216" t="str">
        <f>T("   Togo")</f>
        <v xml:space="preserve">   Togo</v>
      </c>
      <c r="C216">
        <v>11241744</v>
      </c>
      <c r="D216">
        <v>23000</v>
      </c>
    </row>
    <row r="217" spans="1:4" x14ac:dyDescent="0.25">
      <c r="A217" t="str">
        <f>T("   US")</f>
        <v xml:space="preserve">   US</v>
      </c>
      <c r="B217" t="str">
        <f>T("   Etats-Unis")</f>
        <v xml:space="preserve">   Etats-Unis</v>
      </c>
      <c r="C217">
        <v>5054746</v>
      </c>
      <c r="D217">
        <v>4211</v>
      </c>
    </row>
    <row r="218" spans="1:4" x14ac:dyDescent="0.25">
      <c r="A218" t="str">
        <f>T("151620")</f>
        <v>151620</v>
      </c>
      <c r="B218" t="str">
        <f>T("Graisses et huiles végétales et leurs fractions, partiellement ou totalement hydrogénées, interestérifiées, réestérifiées ou élaïdinisées, même raffinées, mais non autrement préparées")</f>
        <v>Graisses et huiles végétales et leurs fractions, partiellement ou totalement hydrogénées, interestérifiées, réestérifiées ou élaïdinisées, même raffinées, mais non autrement préparées</v>
      </c>
    </row>
    <row r="219" spans="1:4" x14ac:dyDescent="0.25">
      <c r="A219" t="str">
        <f>T("   ZZZ_Monde")</f>
        <v xml:space="preserve">   ZZZ_Monde</v>
      </c>
      <c r="B219" t="str">
        <f>T("   ZZZ_Monde")</f>
        <v xml:space="preserve">   ZZZ_Monde</v>
      </c>
      <c r="C219">
        <v>2097196857</v>
      </c>
      <c r="D219">
        <v>4360843</v>
      </c>
    </row>
    <row r="220" spans="1:4" x14ac:dyDescent="0.25">
      <c r="A220" t="str">
        <f>T("   NG")</f>
        <v xml:space="preserve">   NG</v>
      </c>
      <c r="B220" t="str">
        <f>T("   Nigéria")</f>
        <v xml:space="preserve">   Nigéria</v>
      </c>
      <c r="C220">
        <v>2097196857</v>
      </c>
      <c r="D220">
        <v>4360843</v>
      </c>
    </row>
    <row r="221" spans="1:4" x14ac:dyDescent="0.25">
      <c r="A221" t="str">
        <f>T("170111")</f>
        <v>170111</v>
      </c>
      <c r="B221" t="str">
        <f>T("Sucres de canne, bruts, sans addition d'aromatisants ou de colorants")</f>
        <v>Sucres de canne, bruts, sans addition d'aromatisants ou de colorants</v>
      </c>
    </row>
    <row r="222" spans="1:4" x14ac:dyDescent="0.25">
      <c r="A222" t="str">
        <f>T("   ZZZ_Monde")</f>
        <v xml:space="preserve">   ZZZ_Monde</v>
      </c>
      <c r="B222" t="str">
        <f>T("   ZZZ_Monde")</f>
        <v xml:space="preserve">   ZZZ_Monde</v>
      </c>
      <c r="C222">
        <v>2220750000</v>
      </c>
      <c r="D222">
        <v>9450000</v>
      </c>
    </row>
    <row r="223" spans="1:4" x14ac:dyDescent="0.25">
      <c r="A223" t="str">
        <f>T("   PT")</f>
        <v xml:space="preserve">   PT</v>
      </c>
      <c r="B223" t="str">
        <f>T("   Portugal")</f>
        <v xml:space="preserve">   Portugal</v>
      </c>
      <c r="C223">
        <v>2220750000</v>
      </c>
      <c r="D223">
        <v>9450000</v>
      </c>
    </row>
    <row r="224" spans="1:4" x14ac:dyDescent="0.25">
      <c r="A224" t="str">
        <f>T("170199")</f>
        <v>170199</v>
      </c>
      <c r="B224" t="str">
        <f>T("Sucres de canne ou de betterave et saccharose chimiquement pur, à l'état solide (à l'excl. des sucres bruts et des sucres de canne ou de betterave additionnés d'aromatisants ou de colorants)")</f>
        <v>Sucres de canne ou de betterave et saccharose chimiquement pur, à l'état solide (à l'excl. des sucres bruts et des sucres de canne ou de betterave additionnés d'aromatisants ou de colorants)</v>
      </c>
    </row>
    <row r="225" spans="1:4" x14ac:dyDescent="0.25">
      <c r="A225" t="str">
        <f>T("   ZZZ_Monde")</f>
        <v xml:space="preserve">   ZZZ_Monde</v>
      </c>
      <c r="B225" t="str">
        <f>T("   ZZZ_Monde")</f>
        <v xml:space="preserve">   ZZZ_Monde</v>
      </c>
      <c r="C225">
        <v>209790000</v>
      </c>
      <c r="D225">
        <v>973600</v>
      </c>
    </row>
    <row r="226" spans="1:4" x14ac:dyDescent="0.25">
      <c r="A226" t="str">
        <f>T("   NG")</f>
        <v xml:space="preserve">   NG</v>
      </c>
      <c r="B226" t="str">
        <f>T("   Nigéria")</f>
        <v xml:space="preserve">   Nigéria</v>
      </c>
      <c r="C226">
        <v>209790000</v>
      </c>
      <c r="D226">
        <v>973600</v>
      </c>
    </row>
    <row r="227" spans="1:4" x14ac:dyDescent="0.25">
      <c r="A227" t="str">
        <f>T("170490")</f>
        <v>170490</v>
      </c>
      <c r="B227" t="str">
        <f>T("Sucreries sans cacao, y.c. le chocolat blanc (à l'excl. des gommes à mâcher)")</f>
        <v>Sucreries sans cacao, y.c. le chocolat blanc (à l'excl. des gommes à mâcher)</v>
      </c>
    </row>
    <row r="228" spans="1:4" x14ac:dyDescent="0.25">
      <c r="A228" t="str">
        <f>T("   ZZZ_Monde")</f>
        <v xml:space="preserve">   ZZZ_Monde</v>
      </c>
      <c r="B228" t="str">
        <f>T("   ZZZ_Monde")</f>
        <v xml:space="preserve">   ZZZ_Monde</v>
      </c>
      <c r="C228">
        <v>49044000</v>
      </c>
      <c r="D228">
        <v>72958</v>
      </c>
    </row>
    <row r="229" spans="1:4" x14ac:dyDescent="0.25">
      <c r="A229" t="str">
        <f>T("   NE")</f>
        <v xml:space="preserve">   NE</v>
      </c>
      <c r="B229" t="str">
        <f>T("   Niger")</f>
        <v xml:space="preserve">   Niger</v>
      </c>
      <c r="C229">
        <v>49044000</v>
      </c>
      <c r="D229">
        <v>72958</v>
      </c>
    </row>
    <row r="230" spans="1:4" x14ac:dyDescent="0.25">
      <c r="A230" t="str">
        <f>T("200600")</f>
        <v>200600</v>
      </c>
      <c r="B230" t="str">
        <f>T("Légumes, fruits, écorces de fruits et autres parties de plantes, confits au sucre [égouttés, glacés ou cristallisés]")</f>
        <v>Légumes, fruits, écorces de fruits et autres parties de plantes, confits au sucre [égouttés, glacés ou cristallisés]</v>
      </c>
    </row>
    <row r="231" spans="1:4" x14ac:dyDescent="0.25">
      <c r="A231" t="str">
        <f>T("   ZZZ_Monde")</f>
        <v xml:space="preserve">   ZZZ_Monde</v>
      </c>
      <c r="B231" t="str">
        <f>T("   ZZZ_Monde")</f>
        <v xml:space="preserve">   ZZZ_Monde</v>
      </c>
      <c r="C231">
        <v>160000</v>
      </c>
      <c r="D231">
        <v>1200</v>
      </c>
    </row>
    <row r="232" spans="1:4" x14ac:dyDescent="0.25">
      <c r="A232" t="str">
        <f>T("   GA")</f>
        <v xml:space="preserve">   GA</v>
      </c>
      <c r="B232" t="str">
        <f>T("   Gabon")</f>
        <v xml:space="preserve">   Gabon</v>
      </c>
      <c r="C232">
        <v>160000</v>
      </c>
      <c r="D232">
        <v>1200</v>
      </c>
    </row>
    <row r="233" spans="1:4" x14ac:dyDescent="0.25">
      <c r="A233" t="str">
        <f>T("200799")</f>
        <v>200799</v>
      </c>
      <c r="B233" t="str">
        <f>T("Confitures, gelées, marmelades, purées et pâtes de fruits, obtenues par cuisson, avec ou sans addition de sucre ou d'autres édulcorants (à l'excl. des préparations homogénéisées du n° 2007.10 ainsi que des confitures, gelées, marmelades, purées et pâtes d")</f>
        <v>Confitures, gelées, marmelades, purées et pâtes de fruits, obtenues par cuisson, avec ou sans addition de sucre ou d'autres édulcorants (à l'excl. des préparations homogénéisées du n° 2007.10 ainsi que des confitures, gelées, marmelades, purées et pâtes d</v>
      </c>
    </row>
    <row r="234" spans="1:4" x14ac:dyDescent="0.25">
      <c r="A234" t="str">
        <f>T("   ZZZ_Monde")</f>
        <v xml:space="preserve">   ZZZ_Monde</v>
      </c>
      <c r="B234" t="str">
        <f>T("   ZZZ_Monde")</f>
        <v xml:space="preserve">   ZZZ_Monde</v>
      </c>
      <c r="C234">
        <v>83886</v>
      </c>
      <c r="D234">
        <v>367</v>
      </c>
    </row>
    <row r="235" spans="1:4" x14ac:dyDescent="0.25">
      <c r="A235" t="str">
        <f>T("   GN")</f>
        <v xml:space="preserve">   GN</v>
      </c>
      <c r="B235" t="str">
        <f>T("   Guinée")</f>
        <v xml:space="preserve">   Guinée</v>
      </c>
      <c r="C235">
        <v>83886</v>
      </c>
      <c r="D235">
        <v>367</v>
      </c>
    </row>
    <row r="236" spans="1:4" x14ac:dyDescent="0.25">
      <c r="A236" t="str">
        <f>T("200811")</f>
        <v>200811</v>
      </c>
      <c r="B236" t="str">
        <f>T("Arachides, préparées ou conservées (sauf confites au sucre)")</f>
        <v>Arachides, préparées ou conservées (sauf confites au sucre)</v>
      </c>
    </row>
    <row r="237" spans="1:4" x14ac:dyDescent="0.25">
      <c r="A237" t="str">
        <f>T("   ZZZ_Monde")</f>
        <v xml:space="preserve">   ZZZ_Monde</v>
      </c>
      <c r="B237" t="str">
        <f>T("   ZZZ_Monde")</f>
        <v xml:space="preserve">   ZZZ_Monde</v>
      </c>
      <c r="C237">
        <v>44000</v>
      </c>
      <c r="D237">
        <v>220</v>
      </c>
    </row>
    <row r="238" spans="1:4" x14ac:dyDescent="0.25">
      <c r="A238" t="str">
        <f>T("   GB")</f>
        <v xml:space="preserve">   GB</v>
      </c>
      <c r="B238" t="str">
        <f>T("   Royaume-Uni")</f>
        <v xml:space="preserve">   Royaume-Uni</v>
      </c>
      <c r="C238">
        <v>44000</v>
      </c>
      <c r="D238">
        <v>220</v>
      </c>
    </row>
    <row r="239" spans="1:4" x14ac:dyDescent="0.25">
      <c r="A239" t="str">
        <f>T("200819")</f>
        <v>200819</v>
      </c>
      <c r="B239" t="str">
        <f>T("FRUITS À COQUE ET AUTRES GRAINES, Y.C. LES MÉLANGES, PRÉPARÉS OU CONSERVÉS (SAUF PRÉPARÉS OU CONSERVÉS AU VINAIGRE OU À L'ACIDE ACÉTIQUE, CONFITS AU SUCRE MAIS NON-CONSERVÉS DANS DU SIROP ET À L'EXCL. DES CONFITURES, GELÉES DE FRUITS, MARMELADES, PURÉES E")</f>
        <v>FRUITS À COQUE ET AUTRES GRAINES, Y.C. LES MÉLANGES, PRÉPARÉS OU CONSERVÉS (SAUF PRÉPARÉS OU CONSERVÉS AU VINAIGRE OU À L'ACIDE ACÉTIQUE, CONFITS AU SUCRE MAIS NON-CONSERVÉS DANS DU SIROP ET À L'EXCL. DES CONFITURES, GELÉES DE FRUITS, MARMELADES, PURÉES E</v>
      </c>
    </row>
    <row r="240" spans="1:4" x14ac:dyDescent="0.25">
      <c r="A240" t="str">
        <f>T("   ZZZ_Monde")</f>
        <v xml:space="preserve">   ZZZ_Monde</v>
      </c>
      <c r="B240" t="str">
        <f>T("   ZZZ_Monde")</f>
        <v xml:space="preserve">   ZZZ_Monde</v>
      </c>
      <c r="C240">
        <v>8267517</v>
      </c>
      <c r="D240">
        <v>16745</v>
      </c>
    </row>
    <row r="241" spans="1:4" x14ac:dyDescent="0.25">
      <c r="A241" t="str">
        <f>T("   DE")</f>
        <v xml:space="preserve">   DE</v>
      </c>
      <c r="B241" t="str">
        <f>T("   Allemagne")</f>
        <v xml:space="preserve">   Allemagne</v>
      </c>
      <c r="C241">
        <v>8267517</v>
      </c>
      <c r="D241">
        <v>16745</v>
      </c>
    </row>
    <row r="242" spans="1:4" x14ac:dyDescent="0.25">
      <c r="A242" t="str">
        <f>T("200820")</f>
        <v>200820</v>
      </c>
      <c r="B242" t="str">
        <f>T("ANANAS, PRÉPARÉS OU CONSERVÉS, AVEC OU SANS ADDITION DE SUCRE OU D'AUTRES ÉDULCORANTS OU D'ALCOOL (SAUF CONFITS AU SUCRE MAIS NON-CONSERVÉS DANS DU SIROP ET À L'EXCL. DES CONFITURES, GELÉES DE FRUITS, MARMELADES, PURÉES ET PÂTES DE FRUITS OBTENUES PAR CUI")</f>
        <v>ANANAS, PRÉPARÉS OU CONSERVÉS, AVEC OU SANS ADDITION DE SUCRE OU D'AUTRES ÉDULCORANTS OU D'ALCOOL (SAUF CONFITS AU SUCRE MAIS NON-CONSERVÉS DANS DU SIROP ET À L'EXCL. DES CONFITURES, GELÉES DE FRUITS, MARMELADES, PURÉES ET PÂTES DE FRUITS OBTENUES PAR CUI</v>
      </c>
    </row>
    <row r="243" spans="1:4" x14ac:dyDescent="0.25">
      <c r="A243" t="str">
        <f>T("   ZZZ_Monde")</f>
        <v xml:space="preserve">   ZZZ_Monde</v>
      </c>
      <c r="B243" t="str">
        <f>T("   ZZZ_Monde")</f>
        <v xml:space="preserve">   ZZZ_Monde</v>
      </c>
      <c r="C243">
        <v>1311920</v>
      </c>
      <c r="D243">
        <v>20000</v>
      </c>
    </row>
    <row r="244" spans="1:4" x14ac:dyDescent="0.25">
      <c r="A244" t="str">
        <f>T("   MA")</f>
        <v xml:space="preserve">   MA</v>
      </c>
      <c r="B244" t="str">
        <f>T("   Maroc")</f>
        <v xml:space="preserve">   Maroc</v>
      </c>
      <c r="C244">
        <v>1311920</v>
      </c>
      <c r="D244">
        <v>20000</v>
      </c>
    </row>
    <row r="245" spans="1:4" x14ac:dyDescent="0.25">
      <c r="A245" t="str">
        <f>T("200899")</f>
        <v>200899</v>
      </c>
      <c r="B245" t="str">
        <f>T("FRUITS ET AUTRES PARTIES COMESTIBLES DE PLANTES, PRÉPARÉS OU CONSERVÉS, AVEC OU SANS ADDITION DE SUCRE OU D'AUTRES ÉDULCORANTS OU D'ALCOOL (SAUF PRÉPARÉS OU CONSERVÉS AU VINAIGRE OU À L'ACIDE ACÉTIQUE, CONFITS AU SUCRE MAIS NON-CONSERVÉS DANS DU SIROP ET")</f>
        <v>FRUITS ET AUTRES PARTIES COMESTIBLES DE PLANTES, PRÉPARÉS OU CONSERVÉS, AVEC OU SANS ADDITION DE SUCRE OU D'AUTRES ÉDULCORANTS OU D'ALCOOL (SAUF PRÉPARÉS OU CONSERVÉS AU VINAIGRE OU À L'ACIDE ACÉTIQUE, CONFITS AU SUCRE MAIS NON-CONSERVÉS DANS DU SIROP ET</v>
      </c>
    </row>
    <row r="246" spans="1:4" x14ac:dyDescent="0.25">
      <c r="A246" t="str">
        <f>T("   ZZZ_Monde")</f>
        <v xml:space="preserve">   ZZZ_Monde</v>
      </c>
      <c r="B246" t="str">
        <f>T("   ZZZ_Monde")</f>
        <v xml:space="preserve">   ZZZ_Monde</v>
      </c>
      <c r="C246">
        <v>600000</v>
      </c>
      <c r="D246">
        <v>9083</v>
      </c>
    </row>
    <row r="247" spans="1:4" x14ac:dyDescent="0.25">
      <c r="A247" t="str">
        <f>T("   LY")</f>
        <v xml:space="preserve">   LY</v>
      </c>
      <c r="B247" t="str">
        <f>T("   Libyenne, Jamahiriya Arabe")</f>
        <v xml:space="preserve">   Libyenne, Jamahiriya Arabe</v>
      </c>
      <c r="C247">
        <v>600000</v>
      </c>
      <c r="D247">
        <v>9083</v>
      </c>
    </row>
    <row r="248" spans="1:4" x14ac:dyDescent="0.25">
      <c r="A248" t="str">
        <f>T("200949")</f>
        <v>200949</v>
      </c>
      <c r="B248" t="str">
        <f>T("JUS D'ANANAS, NON-FERMENTÉS, SANS ADDITION D'ALCOOL, AVEC OU SANS ADDITION DE SUCRE OU D'AUTRES ÉDULCORANTS, D'UNE VALEUR BRIX &gt; 20 À 20°C")</f>
        <v>JUS D'ANANAS, NON-FERMENTÉS, SANS ADDITION D'ALCOOL, AVEC OU SANS ADDITION DE SUCRE OU D'AUTRES ÉDULCORANTS, D'UNE VALEUR BRIX &gt; 20 À 20°C</v>
      </c>
    </row>
    <row r="249" spans="1:4" x14ac:dyDescent="0.25">
      <c r="A249" t="str">
        <f>T("   ZZZ_Monde")</f>
        <v xml:space="preserve">   ZZZ_Monde</v>
      </c>
      <c r="B249" t="str">
        <f>T("   ZZZ_Monde")</f>
        <v xml:space="preserve">   ZZZ_Monde</v>
      </c>
      <c r="C249">
        <v>12000000</v>
      </c>
      <c r="D249">
        <v>34276</v>
      </c>
    </row>
    <row r="250" spans="1:4" x14ac:dyDescent="0.25">
      <c r="A250" t="str">
        <f>T("   BF")</f>
        <v xml:space="preserve">   BF</v>
      </c>
      <c r="B250" t="str">
        <f>T("   Burkina Faso")</f>
        <v xml:space="preserve">   Burkina Faso</v>
      </c>
      <c r="C250">
        <v>3000000</v>
      </c>
      <c r="D250">
        <v>9500</v>
      </c>
    </row>
    <row r="251" spans="1:4" x14ac:dyDescent="0.25">
      <c r="A251" t="str">
        <f>T("   ML")</f>
        <v xml:space="preserve">   ML</v>
      </c>
      <c r="B251" t="str">
        <f>T("   Mali")</f>
        <v xml:space="preserve">   Mali</v>
      </c>
      <c r="C251">
        <v>2200000</v>
      </c>
      <c r="D251">
        <v>6000</v>
      </c>
    </row>
    <row r="252" spans="1:4" x14ac:dyDescent="0.25">
      <c r="A252" t="str">
        <f>T("   NE")</f>
        <v xml:space="preserve">   NE</v>
      </c>
      <c r="B252" t="str">
        <f>T("   Niger")</f>
        <v xml:space="preserve">   Niger</v>
      </c>
      <c r="C252">
        <v>5500000</v>
      </c>
      <c r="D252">
        <v>17000</v>
      </c>
    </row>
    <row r="253" spans="1:4" x14ac:dyDescent="0.25">
      <c r="A253" t="str">
        <f>T("   SN")</f>
        <v xml:space="preserve">   SN</v>
      </c>
      <c r="B253" t="str">
        <f>T("   Sénégal")</f>
        <v xml:space="preserve">   Sénégal</v>
      </c>
      <c r="C253">
        <v>1300000</v>
      </c>
      <c r="D253">
        <v>1776</v>
      </c>
    </row>
    <row r="254" spans="1:4" x14ac:dyDescent="0.25">
      <c r="A254" t="str">
        <f>T("200980")</f>
        <v>200980</v>
      </c>
      <c r="B254" t="str">
        <f>T("JUS DE FRUITS OU DE LÉGUMES, NON-FERMENTÉS, SANS ADDITION D'ALCOOL, AVEC OU SANS ADDITION DE SUCRE OU D'AUTRES ÉDULCORANTS (À L'EXCL. DES MÉLANGES AINSI QUE DES JUS D'AGRUMES, D'ANANAS, DE TOMATE, DE RAISIN - Y.C. LES MOÛTS - ET DE POMME)")</f>
        <v>JUS DE FRUITS OU DE LÉGUMES, NON-FERMENTÉS, SANS ADDITION D'ALCOOL, AVEC OU SANS ADDITION DE SUCRE OU D'AUTRES ÉDULCORANTS (À L'EXCL. DES MÉLANGES AINSI QUE DES JUS D'AGRUMES, D'ANANAS, DE TOMATE, DE RAISIN - Y.C. LES MOÛTS - ET DE POMME)</v>
      </c>
    </row>
    <row r="255" spans="1:4" x14ac:dyDescent="0.25">
      <c r="A255" t="str">
        <f>T("   ZZZ_Monde")</f>
        <v xml:space="preserve">   ZZZ_Monde</v>
      </c>
      <c r="B255" t="str">
        <f>T("   ZZZ_Monde")</f>
        <v xml:space="preserve">   ZZZ_Monde</v>
      </c>
      <c r="C255">
        <v>4652400</v>
      </c>
      <c r="D255">
        <v>40866</v>
      </c>
    </row>
    <row r="256" spans="1:4" x14ac:dyDescent="0.25">
      <c r="A256" t="str">
        <f>T("   LY")</f>
        <v xml:space="preserve">   LY</v>
      </c>
      <c r="B256" t="str">
        <f>T("   Libyenne, Jamahiriya Arabe")</f>
        <v xml:space="preserve">   Libyenne, Jamahiriya Arabe</v>
      </c>
      <c r="C256">
        <v>4152400</v>
      </c>
      <c r="D256">
        <v>31700</v>
      </c>
    </row>
    <row r="257" spans="1:4" x14ac:dyDescent="0.25">
      <c r="A257" t="str">
        <f>T("   MA")</f>
        <v xml:space="preserve">   MA</v>
      </c>
      <c r="B257" t="str">
        <f>T("   Maroc")</f>
        <v xml:space="preserve">   Maroc</v>
      </c>
      <c r="C257">
        <v>500000</v>
      </c>
      <c r="D257">
        <v>9166</v>
      </c>
    </row>
    <row r="258" spans="1:4" x14ac:dyDescent="0.25">
      <c r="A258" t="str">
        <f>T("210390")</f>
        <v>210390</v>
      </c>
      <c r="B258" t="str">
        <f>T("Préparations pour sauces et sauces préparées; condiments et assaisonnements, composés (à l'excl. de la sauce de soja, du tomato ketchup et autres sauces tomates, de la farine de moutarde et de la moutarde préparée)")</f>
        <v>Préparations pour sauces et sauces préparées; condiments et assaisonnements, composés (à l'excl. de la sauce de soja, du tomato ketchup et autres sauces tomates, de la farine de moutarde et de la moutarde préparée)</v>
      </c>
    </row>
    <row r="259" spans="1:4" x14ac:dyDescent="0.25">
      <c r="A259" t="str">
        <f>T("   ZZZ_Monde")</f>
        <v xml:space="preserve">   ZZZ_Monde</v>
      </c>
      <c r="B259" t="str">
        <f>T("   ZZZ_Monde")</f>
        <v xml:space="preserve">   ZZZ_Monde</v>
      </c>
      <c r="C259">
        <v>2587200</v>
      </c>
      <c r="D259">
        <v>7847</v>
      </c>
    </row>
    <row r="260" spans="1:4" x14ac:dyDescent="0.25">
      <c r="A260" t="str">
        <f>T("   TG")</f>
        <v xml:space="preserve">   TG</v>
      </c>
      <c r="B260" t="str">
        <f>T("   Togo")</f>
        <v xml:space="preserve">   Togo</v>
      </c>
      <c r="C260">
        <v>2587200</v>
      </c>
      <c r="D260">
        <v>7847</v>
      </c>
    </row>
    <row r="261" spans="1:4" x14ac:dyDescent="0.25">
      <c r="A261" t="str">
        <f>T("210690")</f>
        <v>210690</v>
      </c>
      <c r="B261" t="str">
        <f>T("Préparations alimentaires, n.d.a.")</f>
        <v>Préparations alimentaires, n.d.a.</v>
      </c>
    </row>
    <row r="262" spans="1:4" x14ac:dyDescent="0.25">
      <c r="A262" t="str">
        <f>T("   ZZZ_Monde")</f>
        <v xml:space="preserve">   ZZZ_Monde</v>
      </c>
      <c r="B262" t="str">
        <f>T("   ZZZ_Monde")</f>
        <v xml:space="preserve">   ZZZ_Monde</v>
      </c>
      <c r="C262">
        <v>50572505</v>
      </c>
      <c r="D262">
        <v>28146</v>
      </c>
    </row>
    <row r="263" spans="1:4" x14ac:dyDescent="0.25">
      <c r="A263" t="str">
        <f>T("   LY")</f>
        <v xml:space="preserve">   LY</v>
      </c>
      <c r="B263" t="str">
        <f>T("   Libyenne, Jamahiriya Arabe")</f>
        <v xml:space="preserve">   Libyenne, Jamahiriya Arabe</v>
      </c>
      <c r="C263">
        <v>1870000</v>
      </c>
      <c r="D263">
        <v>10200</v>
      </c>
    </row>
    <row r="264" spans="1:4" x14ac:dyDescent="0.25">
      <c r="A264" t="str">
        <f>T("   TG")</f>
        <v xml:space="preserve">   TG</v>
      </c>
      <c r="B264" t="str">
        <f>T("   Togo")</f>
        <v xml:space="preserve">   Togo</v>
      </c>
      <c r="C264">
        <v>48702505</v>
      </c>
      <c r="D264">
        <v>17946</v>
      </c>
    </row>
    <row r="265" spans="1:4" x14ac:dyDescent="0.25">
      <c r="A265" t="str">
        <f>T("220110")</f>
        <v>220110</v>
      </c>
      <c r="B265" t="str">
        <f>T("Eaux minérales et eaux gazéifiées, non additionnées de sucre ou d'autres édulcorants ni aromatisées")</f>
        <v>Eaux minérales et eaux gazéifiées, non additionnées de sucre ou d'autres édulcorants ni aromatisées</v>
      </c>
    </row>
    <row r="266" spans="1:4" x14ac:dyDescent="0.25">
      <c r="A266" t="str">
        <f>T("   ZZZ_Monde")</f>
        <v xml:space="preserve">   ZZZ_Monde</v>
      </c>
      <c r="B266" t="str">
        <f>T("   ZZZ_Monde")</f>
        <v xml:space="preserve">   ZZZ_Monde</v>
      </c>
      <c r="C266">
        <v>84065846</v>
      </c>
      <c r="D266">
        <v>432390</v>
      </c>
    </row>
    <row r="267" spans="1:4" x14ac:dyDescent="0.25">
      <c r="A267" t="str">
        <f>T("   GH")</f>
        <v xml:space="preserve">   GH</v>
      </c>
      <c r="B267" t="str">
        <f>T("   Ghana")</f>
        <v xml:space="preserve">   Ghana</v>
      </c>
      <c r="C267">
        <v>3890068</v>
      </c>
      <c r="D267">
        <v>18291</v>
      </c>
    </row>
    <row r="268" spans="1:4" x14ac:dyDescent="0.25">
      <c r="A268" t="str">
        <f>T("   TG")</f>
        <v xml:space="preserve">   TG</v>
      </c>
      <c r="B268" t="str">
        <f>T("   Togo")</f>
        <v xml:space="preserve">   Togo</v>
      </c>
      <c r="C268">
        <v>80175778</v>
      </c>
      <c r="D268">
        <v>414099</v>
      </c>
    </row>
    <row r="269" spans="1:4" x14ac:dyDescent="0.25">
      <c r="A269" t="str">
        <f>T("220210")</f>
        <v>220210</v>
      </c>
      <c r="B269" t="str">
        <f>T("Eaux, y.c. les eaux minérales et les eaux gazéifiées, additionnées de sucre ou d'autres édulcorants ou aromatisées, directement consommables en l'état en tant que boissons")</f>
        <v>Eaux, y.c. les eaux minérales et les eaux gazéifiées, additionnées de sucre ou d'autres édulcorants ou aromatisées, directement consommables en l'état en tant que boissons</v>
      </c>
    </row>
    <row r="270" spans="1:4" x14ac:dyDescent="0.25">
      <c r="A270" t="str">
        <f>T("   ZZZ_Monde")</f>
        <v xml:space="preserve">   ZZZ_Monde</v>
      </c>
      <c r="B270" t="str">
        <f>T("   ZZZ_Monde")</f>
        <v xml:space="preserve">   ZZZ_Monde</v>
      </c>
      <c r="C270">
        <v>59802314</v>
      </c>
      <c r="D270">
        <v>152061</v>
      </c>
    </row>
    <row r="271" spans="1:4" x14ac:dyDescent="0.25">
      <c r="A271" t="str">
        <f>T("   GH")</f>
        <v xml:space="preserve">   GH</v>
      </c>
      <c r="B271" t="str">
        <f>T("   Ghana")</f>
        <v xml:space="preserve">   Ghana</v>
      </c>
      <c r="C271">
        <v>5554892</v>
      </c>
      <c r="D271">
        <v>13823</v>
      </c>
    </row>
    <row r="272" spans="1:4" x14ac:dyDescent="0.25">
      <c r="A272" t="str">
        <f>T("   TG")</f>
        <v xml:space="preserve">   TG</v>
      </c>
      <c r="B272" t="str">
        <f>T("   Togo")</f>
        <v xml:space="preserve">   Togo</v>
      </c>
      <c r="C272">
        <v>54247422</v>
      </c>
      <c r="D272">
        <v>138238</v>
      </c>
    </row>
    <row r="273" spans="1:4" x14ac:dyDescent="0.25">
      <c r="A273" t="str">
        <f>T("220290")</f>
        <v>220290</v>
      </c>
      <c r="B273" t="str">
        <f>T("BOISSONS NON-ALCOOLIQUES (À L'EXCL. DES EAUX, DES JUS DE FRUITS OU DE LÉGUMES AINSI QUE DU LAIT)")</f>
        <v>BOISSONS NON-ALCOOLIQUES (À L'EXCL. DES EAUX, DES JUS DE FRUITS OU DE LÉGUMES AINSI QUE DU LAIT)</v>
      </c>
    </row>
    <row r="274" spans="1:4" x14ac:dyDescent="0.25">
      <c r="A274" t="str">
        <f>T("   ZZZ_Monde")</f>
        <v xml:space="preserve">   ZZZ_Monde</v>
      </c>
      <c r="B274" t="str">
        <f>T("   ZZZ_Monde")</f>
        <v xml:space="preserve">   ZZZ_Monde</v>
      </c>
      <c r="C274">
        <v>15000</v>
      </c>
      <c r="D274">
        <v>300</v>
      </c>
    </row>
    <row r="275" spans="1:4" x14ac:dyDescent="0.25">
      <c r="A275" t="str">
        <f>T("   GA")</f>
        <v xml:space="preserve">   GA</v>
      </c>
      <c r="B275" t="str">
        <f>T("   Gabon")</f>
        <v xml:space="preserve">   Gabon</v>
      </c>
      <c r="C275">
        <v>15000</v>
      </c>
      <c r="D275">
        <v>300</v>
      </c>
    </row>
    <row r="276" spans="1:4" x14ac:dyDescent="0.25">
      <c r="A276" t="str">
        <f>T("220600")</f>
        <v>220600</v>
      </c>
      <c r="B276" t="str">
        <f>T("CIDRE, POIRÉ, HYDROMEL ET AUTRES BOISSONS FERMENTÉES; MÉLANGES DE BOISSONS FERMENTÉES ET MÉLANGES DE BOISSONS FERMENTÉES ET DE BOISSONS NON-ALCOOLIQUES, N.D.A. (À L'EXCL. DE LA BIÈRE, DES VINS DE RAISINS FRAIS, DES MOÛTS DE RAISINS AINSI QUE DES VERMOUTHS")</f>
        <v>CIDRE, POIRÉ, HYDROMEL ET AUTRES BOISSONS FERMENTÉES; MÉLANGES DE BOISSONS FERMENTÉES ET MÉLANGES DE BOISSONS FERMENTÉES ET DE BOISSONS NON-ALCOOLIQUES, N.D.A. (À L'EXCL. DE LA BIÈRE, DES VINS DE RAISINS FRAIS, DES MOÛTS DE RAISINS AINSI QUE DES VERMOUTHS</v>
      </c>
    </row>
    <row r="277" spans="1:4" x14ac:dyDescent="0.25">
      <c r="A277" t="str">
        <f>T("   ZZZ_Monde")</f>
        <v xml:space="preserve">   ZZZ_Monde</v>
      </c>
      <c r="B277" t="str">
        <f>T("   ZZZ_Monde")</f>
        <v xml:space="preserve">   ZZZ_Monde</v>
      </c>
      <c r="C277">
        <v>1800000</v>
      </c>
      <c r="D277">
        <v>26300</v>
      </c>
    </row>
    <row r="278" spans="1:4" x14ac:dyDescent="0.25">
      <c r="A278" t="str">
        <f>T("   GA")</f>
        <v xml:space="preserve">   GA</v>
      </c>
      <c r="B278" t="str">
        <f>T("   Gabon")</f>
        <v xml:space="preserve">   Gabon</v>
      </c>
      <c r="C278">
        <v>1800000</v>
      </c>
      <c r="D278">
        <v>26300</v>
      </c>
    </row>
    <row r="279" spans="1:4" x14ac:dyDescent="0.25">
      <c r="A279" t="str">
        <f>T("220870")</f>
        <v>220870</v>
      </c>
      <c r="B279" t="str">
        <f>T("LIQUEURS")</f>
        <v>LIQUEURS</v>
      </c>
    </row>
    <row r="280" spans="1:4" x14ac:dyDescent="0.25">
      <c r="A280" t="str">
        <f>T("   ZZZ_Monde")</f>
        <v xml:space="preserve">   ZZZ_Monde</v>
      </c>
      <c r="B280" t="str">
        <f>T("   ZZZ_Monde")</f>
        <v xml:space="preserve">   ZZZ_Monde</v>
      </c>
      <c r="C280">
        <v>9162000</v>
      </c>
      <c r="D280">
        <v>46750</v>
      </c>
    </row>
    <row r="281" spans="1:4" x14ac:dyDescent="0.25">
      <c r="A281" t="str">
        <f>T("   NE")</f>
        <v xml:space="preserve">   NE</v>
      </c>
      <c r="B281" t="str">
        <f>T("   Niger")</f>
        <v xml:space="preserve">   Niger</v>
      </c>
      <c r="C281">
        <v>9162000</v>
      </c>
      <c r="D281">
        <v>46750</v>
      </c>
    </row>
    <row r="282" spans="1:4" x14ac:dyDescent="0.25">
      <c r="A282" t="str">
        <f>T("220890")</f>
        <v>220890</v>
      </c>
      <c r="B282" t="str">
        <f>T("ALCOOL ÉTHYLIQUE D'UN TITRE ALCOOMÉTRIQUE VOLUMIQUE &lt; 80% VOL, NON-DÉNATURÉ; EAUX-DE-VIE ET AUTRES BOISSONS SPIRITUEUSES (À L'EXCL. DES EAUX-DE-VIE DE VIN OU DE MARC DE RAISINS, DES WHISKIES, DU RHUM ET AUTRES EAUX-DE-VIE PROVENANT DE LA DISTILLATION APRÈ")</f>
        <v>ALCOOL ÉTHYLIQUE D'UN TITRE ALCOOMÉTRIQUE VOLUMIQUE &lt; 80% VOL, NON-DÉNATURÉ; EAUX-DE-VIE ET AUTRES BOISSONS SPIRITUEUSES (À L'EXCL. DES EAUX-DE-VIE DE VIN OU DE MARC DE RAISINS, DES WHISKIES, DU RHUM ET AUTRES EAUX-DE-VIE PROVENANT DE LA DISTILLATION APRÈ</v>
      </c>
    </row>
    <row r="283" spans="1:4" x14ac:dyDescent="0.25">
      <c r="A283" t="str">
        <f>T("   ZZZ_Monde")</f>
        <v xml:space="preserve">   ZZZ_Monde</v>
      </c>
      <c r="B283" t="str">
        <f>T("   ZZZ_Monde")</f>
        <v xml:space="preserve">   ZZZ_Monde</v>
      </c>
      <c r="C283">
        <v>1200000</v>
      </c>
      <c r="D283">
        <v>4000</v>
      </c>
    </row>
    <row r="284" spans="1:4" x14ac:dyDescent="0.25">
      <c r="A284" t="str">
        <f>T("   GA")</f>
        <v xml:space="preserve">   GA</v>
      </c>
      <c r="B284" t="str">
        <f>T("   Gabon")</f>
        <v xml:space="preserve">   Gabon</v>
      </c>
      <c r="C284">
        <v>1200000</v>
      </c>
      <c r="D284">
        <v>4000</v>
      </c>
    </row>
    <row r="285" spans="1:4" x14ac:dyDescent="0.25">
      <c r="A285" t="str">
        <f>T("230240")</f>
        <v>230240</v>
      </c>
      <c r="B285" t="str">
        <f>T("SONS, REMOULAGES ET AUTRES RÉSIDUS, MÊME AGGLOMÉRÉS SOUS FORME DE PELLETS, DU CRIBLAGE, DE LA MOUTURE OU D'AUTRES TRAITEMENTS DES CÉRÉALES (À L'EXCL. DU MAÏS OU DU FROMENT)")</f>
        <v>SONS, REMOULAGES ET AUTRES RÉSIDUS, MÊME AGGLOMÉRÉS SOUS FORME DE PELLETS, DU CRIBLAGE, DE LA MOUTURE OU D'AUTRES TRAITEMENTS DES CÉRÉALES (À L'EXCL. DU MAÏS OU DU FROMENT)</v>
      </c>
    </row>
    <row r="286" spans="1:4" x14ac:dyDescent="0.25">
      <c r="A286" t="str">
        <f>T("   ZZZ_Monde")</f>
        <v xml:space="preserve">   ZZZ_Monde</v>
      </c>
      <c r="B286" t="str">
        <f>T("   ZZZ_Monde")</f>
        <v xml:space="preserve">   ZZZ_Monde</v>
      </c>
      <c r="C286">
        <v>2000000</v>
      </c>
      <c r="D286">
        <v>19000</v>
      </c>
    </row>
    <row r="287" spans="1:4" x14ac:dyDescent="0.25">
      <c r="A287" t="str">
        <f>T("   GA")</f>
        <v xml:space="preserve">   GA</v>
      </c>
      <c r="B287" t="str">
        <f>T("   Gabon")</f>
        <v xml:space="preserve">   Gabon</v>
      </c>
      <c r="C287">
        <v>2000000</v>
      </c>
      <c r="D287">
        <v>19000</v>
      </c>
    </row>
    <row r="288" spans="1:4" x14ac:dyDescent="0.25">
      <c r="A288" t="str">
        <f>T("230400")</f>
        <v>230400</v>
      </c>
      <c r="B288" t="str">
        <f>T("Tourteaux et autres résidus solides, même broyés ou agglomérés sous forme de pellets, de l'extraction de l'huile de soja")</f>
        <v>Tourteaux et autres résidus solides, même broyés ou agglomérés sous forme de pellets, de l'extraction de l'huile de soja</v>
      </c>
    </row>
    <row r="289" spans="1:4" x14ac:dyDescent="0.25">
      <c r="A289" t="str">
        <f>T("   ZZZ_Monde")</f>
        <v xml:space="preserve">   ZZZ_Monde</v>
      </c>
      <c r="B289" t="str">
        <f>T("   ZZZ_Monde")</f>
        <v xml:space="preserve">   ZZZ_Monde</v>
      </c>
      <c r="C289">
        <v>2545906241</v>
      </c>
      <c r="D289">
        <v>13276720</v>
      </c>
    </row>
    <row r="290" spans="1:4" x14ac:dyDescent="0.25">
      <c r="A290" t="str">
        <f>T("   CD")</f>
        <v xml:space="preserve">   CD</v>
      </c>
      <c r="B290" t="str">
        <f>T("   Congo, République Démocratique")</f>
        <v xml:space="preserve">   Congo, République Démocratique</v>
      </c>
      <c r="C290">
        <v>22371967</v>
      </c>
      <c r="D290">
        <v>100815</v>
      </c>
    </row>
    <row r="291" spans="1:4" x14ac:dyDescent="0.25">
      <c r="A291" t="str">
        <f>T("   CG")</f>
        <v xml:space="preserve">   CG</v>
      </c>
      <c r="B291" t="str">
        <f>T("   Congo (Brazzaville)")</f>
        <v xml:space="preserve">   Congo (Brazzaville)</v>
      </c>
      <c r="C291">
        <v>72368657</v>
      </c>
      <c r="D291">
        <v>343557</v>
      </c>
    </row>
    <row r="292" spans="1:4" x14ac:dyDescent="0.25">
      <c r="A292" t="str">
        <f>T("   CI")</f>
        <v xml:space="preserve">   CI</v>
      </c>
      <c r="B292" t="str">
        <f>T("   Côte d'Ivoire")</f>
        <v xml:space="preserve">   Côte d'Ivoire</v>
      </c>
      <c r="C292">
        <v>459066234</v>
      </c>
      <c r="D292">
        <v>2273022</v>
      </c>
    </row>
    <row r="293" spans="1:4" x14ac:dyDescent="0.25">
      <c r="A293" t="str">
        <f>T("   CM")</f>
        <v xml:space="preserve">   CM</v>
      </c>
      <c r="B293" t="str">
        <f>T("   Cameroun")</f>
        <v xml:space="preserve">   Cameroun</v>
      </c>
      <c r="C293">
        <v>615864655</v>
      </c>
      <c r="D293">
        <v>3182207</v>
      </c>
    </row>
    <row r="294" spans="1:4" x14ac:dyDescent="0.25">
      <c r="A294" t="str">
        <f>T("   FR")</f>
        <v xml:space="preserve">   FR</v>
      </c>
      <c r="B294" t="str">
        <f>T("   France")</f>
        <v xml:space="preserve">   France</v>
      </c>
      <c r="C294">
        <v>34473322</v>
      </c>
      <c r="D294">
        <v>161704</v>
      </c>
    </row>
    <row r="295" spans="1:4" x14ac:dyDescent="0.25">
      <c r="A295" t="str">
        <f>T("   GA")</f>
        <v xml:space="preserve">   GA</v>
      </c>
      <c r="B295" t="str">
        <f>T("   Gabon")</f>
        <v xml:space="preserve">   Gabon</v>
      </c>
      <c r="C295">
        <v>201268934</v>
      </c>
      <c r="D295">
        <v>944095</v>
      </c>
    </row>
    <row r="296" spans="1:4" x14ac:dyDescent="0.25">
      <c r="A296" t="str">
        <f>T("   GH")</f>
        <v xml:space="preserve">   GH</v>
      </c>
      <c r="B296" t="str">
        <f>T("   Ghana")</f>
        <v xml:space="preserve">   Ghana</v>
      </c>
      <c r="C296">
        <v>118024600</v>
      </c>
      <c r="D296">
        <v>564466</v>
      </c>
    </row>
    <row r="297" spans="1:4" x14ac:dyDescent="0.25">
      <c r="A297" t="str">
        <f>T("   NG")</f>
        <v xml:space="preserve">   NG</v>
      </c>
      <c r="B297" t="str">
        <f>T("   Nigéria")</f>
        <v xml:space="preserve">   Nigéria</v>
      </c>
      <c r="C297">
        <v>11466900</v>
      </c>
      <c r="D297">
        <v>73980</v>
      </c>
    </row>
    <row r="298" spans="1:4" x14ac:dyDescent="0.25">
      <c r="A298" t="str">
        <f>T("   SN")</f>
        <v xml:space="preserve">   SN</v>
      </c>
      <c r="B298" t="str">
        <f>T("   Sénégal")</f>
        <v xml:space="preserve">   Sénégal</v>
      </c>
      <c r="C298">
        <v>49375421</v>
      </c>
      <c r="D298">
        <v>238959</v>
      </c>
    </row>
    <row r="299" spans="1:4" x14ac:dyDescent="0.25">
      <c r="A299" t="str">
        <f>T("   TG")</f>
        <v xml:space="preserve">   TG</v>
      </c>
      <c r="B299" t="str">
        <f>T("   Togo")</f>
        <v xml:space="preserve">   Togo</v>
      </c>
      <c r="C299">
        <v>740117928</v>
      </c>
      <c r="D299">
        <v>3985073</v>
      </c>
    </row>
    <row r="300" spans="1:4" x14ac:dyDescent="0.25">
      <c r="A300" t="str">
        <f>T("   TR")</f>
        <v xml:space="preserve">   TR</v>
      </c>
      <c r="B300" t="str">
        <f>T("   Turquie")</f>
        <v xml:space="preserve">   Turquie</v>
      </c>
      <c r="C300">
        <v>221507623</v>
      </c>
      <c r="D300">
        <v>1408842</v>
      </c>
    </row>
    <row r="301" spans="1:4" x14ac:dyDescent="0.25">
      <c r="A301" t="str">
        <f>T("230610")</f>
        <v>230610</v>
      </c>
      <c r="B301" t="str">
        <f>T("Tourteaux et autres résidus solides, même broyés ou agglomérés sous forme de pellets, de l'extraction des graisses ou huiles de coton")</f>
        <v>Tourteaux et autres résidus solides, même broyés ou agglomérés sous forme de pellets, de l'extraction des graisses ou huiles de coton</v>
      </c>
    </row>
    <row r="302" spans="1:4" x14ac:dyDescent="0.25">
      <c r="A302" t="str">
        <f>T("   ZZZ_Monde")</f>
        <v xml:space="preserve">   ZZZ_Monde</v>
      </c>
      <c r="B302" t="str">
        <f>T("   ZZZ_Monde")</f>
        <v xml:space="preserve">   ZZZ_Monde</v>
      </c>
      <c r="C302">
        <v>2238009340</v>
      </c>
      <c r="D302">
        <v>21144180</v>
      </c>
    </row>
    <row r="303" spans="1:4" x14ac:dyDescent="0.25">
      <c r="A303" t="str">
        <f>T("   CI")</f>
        <v xml:space="preserve">   CI</v>
      </c>
      <c r="B303" t="str">
        <f>T("   Côte d'Ivoire")</f>
        <v xml:space="preserve">   Côte d'Ivoire</v>
      </c>
      <c r="C303">
        <v>216475335</v>
      </c>
      <c r="D303">
        <v>1548635</v>
      </c>
    </row>
    <row r="304" spans="1:4" x14ac:dyDescent="0.25">
      <c r="A304" t="str">
        <f>T("   GH")</f>
        <v xml:space="preserve">   GH</v>
      </c>
      <c r="B304" t="str">
        <f>T("   Ghana")</f>
        <v xml:space="preserve">   Ghana</v>
      </c>
      <c r="C304">
        <v>267909020</v>
      </c>
      <c r="D304">
        <v>1970226</v>
      </c>
    </row>
    <row r="305" spans="1:4" x14ac:dyDescent="0.25">
      <c r="A305" t="str">
        <f>T("   SN")</f>
        <v xml:space="preserve">   SN</v>
      </c>
      <c r="B305" t="str">
        <f>T("   Sénégal")</f>
        <v xml:space="preserve">   Sénégal</v>
      </c>
      <c r="C305">
        <v>33713414</v>
      </c>
      <c r="D305">
        <v>299271</v>
      </c>
    </row>
    <row r="306" spans="1:4" x14ac:dyDescent="0.25">
      <c r="A306" t="str">
        <f>T("   TG")</f>
        <v xml:space="preserve">   TG</v>
      </c>
      <c r="B306" t="str">
        <f>T("   Togo")</f>
        <v xml:space="preserve">   Togo</v>
      </c>
      <c r="C306">
        <v>891528985</v>
      </c>
      <c r="D306">
        <v>5844113</v>
      </c>
    </row>
    <row r="307" spans="1:4" x14ac:dyDescent="0.25">
      <c r="A307" t="str">
        <f>T("   ZA")</f>
        <v xml:space="preserve">   ZA</v>
      </c>
      <c r="B307" t="str">
        <f>T("   Afrique du Sud")</f>
        <v xml:space="preserve">   Afrique du Sud</v>
      </c>
      <c r="C307">
        <v>828382586</v>
      </c>
      <c r="D307">
        <v>11481935</v>
      </c>
    </row>
    <row r="308" spans="1:4" x14ac:dyDescent="0.25">
      <c r="A308" t="str">
        <f>T("230649")</f>
        <v>230649</v>
      </c>
      <c r="B308" t="str">
        <f>T("TOURTEAUX ET AUTRES RÉSIDUS SOLIDES, MÊME BROYÉS OU AGGLOMÉRÉS SOUS FORME DE PELLETS, DE L'EXTRACTION DES GRAISSES OU HUILES DE NAVETTE OU DE COLZA D'UNE TENEUR ÉLEVÉE EN ACIDE ÉRUCIQUE 'FOURNISSANT UNE HUILE FIXE DONT LA TENEUR EN ACIDE ÉRUCIQUE EST &gt;= 2")</f>
        <v>TOURTEAUX ET AUTRES RÉSIDUS SOLIDES, MÊME BROYÉS OU AGGLOMÉRÉS SOUS FORME DE PELLETS, DE L'EXTRACTION DES GRAISSES OU HUILES DE NAVETTE OU DE COLZA D'UNE TENEUR ÉLEVÉE EN ACIDE ÉRUCIQUE 'FOURNISSANT UNE HUILE FIXE DONT LA TENEUR EN ACIDE ÉRUCIQUE EST &gt;= 2</v>
      </c>
    </row>
    <row r="309" spans="1:4" x14ac:dyDescent="0.25">
      <c r="A309" t="str">
        <f>T("   ZZZ_Monde")</f>
        <v xml:space="preserve">   ZZZ_Monde</v>
      </c>
      <c r="B309" t="str">
        <f>T("   ZZZ_Monde")</f>
        <v xml:space="preserve">   ZZZ_Monde</v>
      </c>
      <c r="C309">
        <v>51051333</v>
      </c>
      <c r="D309">
        <v>259423</v>
      </c>
    </row>
    <row r="310" spans="1:4" x14ac:dyDescent="0.25">
      <c r="A310" t="str">
        <f>T("   CI")</f>
        <v xml:space="preserve">   CI</v>
      </c>
      <c r="B310" t="str">
        <f>T("   Côte d'Ivoire")</f>
        <v xml:space="preserve">   Côte d'Ivoire</v>
      </c>
      <c r="C310">
        <v>51051333</v>
      </c>
      <c r="D310">
        <v>259423</v>
      </c>
    </row>
    <row r="311" spans="1:4" x14ac:dyDescent="0.25">
      <c r="A311" t="str">
        <f>T("250810")</f>
        <v>250810</v>
      </c>
      <c r="B311" t="str">
        <f>T("Bentonite")</f>
        <v>Bentonite</v>
      </c>
    </row>
    <row r="312" spans="1:4" x14ac:dyDescent="0.25">
      <c r="A312" t="str">
        <f>T("   ZZZ_Monde")</f>
        <v xml:space="preserve">   ZZZ_Monde</v>
      </c>
      <c r="B312" t="str">
        <f>T("   ZZZ_Monde")</f>
        <v xml:space="preserve">   ZZZ_Monde</v>
      </c>
      <c r="C312">
        <v>9275902</v>
      </c>
      <c r="D312">
        <v>20625</v>
      </c>
    </row>
    <row r="313" spans="1:4" x14ac:dyDescent="0.25">
      <c r="A313" t="str">
        <f>T("   CI")</f>
        <v xml:space="preserve">   CI</v>
      </c>
      <c r="B313" t="str">
        <f>T("   Côte d'Ivoire")</f>
        <v xml:space="preserve">   Côte d'Ivoire</v>
      </c>
      <c r="C313">
        <v>9275902</v>
      </c>
      <c r="D313">
        <v>20625</v>
      </c>
    </row>
    <row r="314" spans="1:4" x14ac:dyDescent="0.25">
      <c r="A314" t="str">
        <f>T("250900")</f>
        <v>250900</v>
      </c>
      <c r="B314" t="str">
        <f>T("Craie")</f>
        <v>Craie</v>
      </c>
    </row>
    <row r="315" spans="1:4" x14ac:dyDescent="0.25">
      <c r="A315" t="str">
        <f>T("   ZZZ_Monde")</f>
        <v xml:space="preserve">   ZZZ_Monde</v>
      </c>
      <c r="B315" t="str">
        <f>T("   ZZZ_Monde")</f>
        <v xml:space="preserve">   ZZZ_Monde</v>
      </c>
      <c r="C315">
        <v>1860000</v>
      </c>
      <c r="D315">
        <v>450</v>
      </c>
    </row>
    <row r="316" spans="1:4" x14ac:dyDescent="0.25">
      <c r="A316" t="str">
        <f>T("   GQ")</f>
        <v xml:space="preserve">   GQ</v>
      </c>
      <c r="B316" t="str">
        <f>T("   Guinée Equatoriale")</f>
        <v xml:space="preserve">   Guinée Equatoriale</v>
      </c>
      <c r="C316">
        <v>1860000</v>
      </c>
      <c r="D316">
        <v>450</v>
      </c>
    </row>
    <row r="317" spans="1:4" x14ac:dyDescent="0.25">
      <c r="A317" t="str">
        <f>T("251520")</f>
        <v>251520</v>
      </c>
      <c r="B317" t="str">
        <f>T("Ecaussines et autres pierres calcaires de taille ou de construction, d'une densité apparente &gt;= 2,5, et albâtre, même dégrossis ou simplement débités, par sciage ou autrement, en blocs ou en plaques de forme carrée ou rectangulaire (à l'excl. des marbres")</f>
        <v>Ecaussines et autres pierres calcaires de taille ou de construction, d'une densité apparente &gt;= 2,5, et albâtre, même dégrossis ou simplement débités, par sciage ou autrement, en blocs ou en plaques de forme carrée ou rectangulaire (à l'excl. des marbres</v>
      </c>
    </row>
    <row r="318" spans="1:4" x14ac:dyDescent="0.25">
      <c r="A318" t="str">
        <f>T("   ZZZ_Monde")</f>
        <v xml:space="preserve">   ZZZ_Monde</v>
      </c>
      <c r="B318" t="str">
        <f>T("   ZZZ_Monde")</f>
        <v xml:space="preserve">   ZZZ_Monde</v>
      </c>
      <c r="C318">
        <v>143565311</v>
      </c>
      <c r="D318">
        <v>14732425</v>
      </c>
    </row>
    <row r="319" spans="1:4" x14ac:dyDescent="0.25">
      <c r="A319" t="str">
        <f>T("   TG")</f>
        <v xml:space="preserve">   TG</v>
      </c>
      <c r="B319" t="str">
        <f>T("   Togo")</f>
        <v xml:space="preserve">   Togo</v>
      </c>
      <c r="C319">
        <v>143565311</v>
      </c>
      <c r="D319">
        <v>14732425</v>
      </c>
    </row>
    <row r="320" spans="1:4" x14ac:dyDescent="0.25">
      <c r="A320" t="str">
        <f>T("253090")</f>
        <v>253090</v>
      </c>
      <c r="B320" t="str">
        <f>T("Sulfures d'arsenic, alunite, terre de pouzzolane, terres colorantes et autres matières minérales, n.d.a.")</f>
        <v>Sulfures d'arsenic, alunite, terre de pouzzolane, terres colorantes et autres matières minérales, n.d.a.</v>
      </c>
    </row>
    <row r="321" spans="1:4" x14ac:dyDescent="0.25">
      <c r="A321" t="str">
        <f>T("   ZZZ_Monde")</f>
        <v xml:space="preserve">   ZZZ_Monde</v>
      </c>
      <c r="B321" t="str">
        <f>T("   ZZZ_Monde")</f>
        <v xml:space="preserve">   ZZZ_Monde</v>
      </c>
      <c r="C321">
        <v>100000</v>
      </c>
      <c r="D321">
        <v>508</v>
      </c>
    </row>
    <row r="322" spans="1:4" x14ac:dyDescent="0.25">
      <c r="A322" t="str">
        <f>T("   FR")</f>
        <v xml:space="preserve">   FR</v>
      </c>
      <c r="B322" t="str">
        <f>T("   France")</f>
        <v xml:space="preserve">   France</v>
      </c>
      <c r="C322">
        <v>100000</v>
      </c>
      <c r="D322">
        <v>508</v>
      </c>
    </row>
    <row r="323" spans="1:4" x14ac:dyDescent="0.25">
      <c r="A323" t="str">
        <f>T("270500")</f>
        <v>270500</v>
      </c>
      <c r="B323" t="str">
        <f>T("Gaz de houille, gaz à l'eau, gaz pauvre et gaz simil. (à l'excl. des gaz de pétrole et autres hydrocarbures gazeux)")</f>
        <v>Gaz de houille, gaz à l'eau, gaz pauvre et gaz simil. (à l'excl. des gaz de pétrole et autres hydrocarbures gazeux)</v>
      </c>
    </row>
    <row r="324" spans="1:4" x14ac:dyDescent="0.25">
      <c r="A324" t="str">
        <f>T("   ZZZ_Monde")</f>
        <v xml:space="preserve">   ZZZ_Monde</v>
      </c>
      <c r="B324" t="str">
        <f>T("   ZZZ_Monde")</f>
        <v xml:space="preserve">   ZZZ_Monde</v>
      </c>
      <c r="C324">
        <v>594394</v>
      </c>
      <c r="D324">
        <v>250</v>
      </c>
    </row>
    <row r="325" spans="1:4" x14ac:dyDescent="0.25">
      <c r="A325" t="str">
        <f>T("   NG")</f>
        <v xml:space="preserve">   NG</v>
      </c>
      <c r="B325" t="str">
        <f>T("   Nigéria")</f>
        <v xml:space="preserve">   Nigéria</v>
      </c>
      <c r="C325">
        <v>594394</v>
      </c>
      <c r="D325">
        <v>250</v>
      </c>
    </row>
    <row r="326" spans="1:4" x14ac:dyDescent="0.25">
      <c r="A326" t="str">
        <f>T("271320")</f>
        <v>271320</v>
      </c>
      <c r="B326" t="str">
        <f>T("Bitume de pétrole")</f>
        <v>Bitume de pétrole</v>
      </c>
    </row>
    <row r="327" spans="1:4" x14ac:dyDescent="0.25">
      <c r="A327" t="str">
        <f>T("   ZZZ_Monde")</f>
        <v xml:space="preserve">   ZZZ_Monde</v>
      </c>
      <c r="B327" t="str">
        <f>T("   ZZZ_Monde")</f>
        <v xml:space="preserve">   ZZZ_Monde</v>
      </c>
      <c r="C327">
        <v>21197360</v>
      </c>
      <c r="D327">
        <v>68000</v>
      </c>
    </row>
    <row r="328" spans="1:4" x14ac:dyDescent="0.25">
      <c r="A328" t="str">
        <f>T("   NG")</f>
        <v xml:space="preserve">   NG</v>
      </c>
      <c r="B328" t="str">
        <f>T("   Nigéria")</f>
        <v xml:space="preserve">   Nigéria</v>
      </c>
      <c r="C328">
        <v>3733360</v>
      </c>
      <c r="D328">
        <v>10000</v>
      </c>
    </row>
    <row r="329" spans="1:4" x14ac:dyDescent="0.25">
      <c r="A329" t="str">
        <f>T("   TG")</f>
        <v xml:space="preserve">   TG</v>
      </c>
      <c r="B329" t="str">
        <f>T("   Togo")</f>
        <v xml:space="preserve">   Togo</v>
      </c>
      <c r="C329">
        <v>17464000</v>
      </c>
      <c r="D329">
        <v>58000</v>
      </c>
    </row>
    <row r="330" spans="1:4" x14ac:dyDescent="0.25">
      <c r="A330" t="str">
        <f>T("271490")</f>
        <v>271490</v>
      </c>
      <c r="B330" t="str">
        <f>T("Bitumes et asphaltes, naturels; asphaltites et roches asphaltiques")</f>
        <v>Bitumes et asphaltes, naturels; asphaltites et roches asphaltiques</v>
      </c>
    </row>
    <row r="331" spans="1:4" x14ac:dyDescent="0.25">
      <c r="A331" t="str">
        <f>T("   ZZZ_Monde")</f>
        <v xml:space="preserve">   ZZZ_Monde</v>
      </c>
      <c r="B331" t="str">
        <f>T("   ZZZ_Monde")</f>
        <v xml:space="preserve">   ZZZ_Monde</v>
      </c>
      <c r="C331">
        <v>11170000</v>
      </c>
      <c r="D331">
        <v>42600</v>
      </c>
    </row>
    <row r="332" spans="1:4" x14ac:dyDescent="0.25">
      <c r="A332" t="str">
        <f>T("   DK")</f>
        <v xml:space="preserve">   DK</v>
      </c>
      <c r="B332" t="str">
        <f>T("   Danemark")</f>
        <v xml:space="preserve">   Danemark</v>
      </c>
      <c r="C332">
        <v>50000</v>
      </c>
      <c r="D332">
        <v>2600</v>
      </c>
    </row>
    <row r="333" spans="1:4" x14ac:dyDescent="0.25">
      <c r="A333" t="str">
        <f>T("   TG")</f>
        <v xml:space="preserve">   TG</v>
      </c>
      <c r="B333" t="str">
        <f>T("   Togo")</f>
        <v xml:space="preserve">   Togo</v>
      </c>
      <c r="C333">
        <v>11120000</v>
      </c>
      <c r="D333">
        <v>40000</v>
      </c>
    </row>
    <row r="334" spans="1:4" x14ac:dyDescent="0.25">
      <c r="A334" t="str">
        <f>T("280610")</f>
        <v>280610</v>
      </c>
      <c r="B334" t="str">
        <f>T("Chlorure d'hydrogène [acide chlorhydrique]")</f>
        <v>Chlorure d'hydrogène [acide chlorhydrique]</v>
      </c>
    </row>
    <row r="335" spans="1:4" x14ac:dyDescent="0.25">
      <c r="A335" t="str">
        <f>T("   ZZZ_Monde")</f>
        <v xml:space="preserve">   ZZZ_Monde</v>
      </c>
      <c r="B335" t="str">
        <f>T("   ZZZ_Monde")</f>
        <v xml:space="preserve">   ZZZ_Monde</v>
      </c>
      <c r="C335">
        <v>2125000</v>
      </c>
      <c r="D335">
        <v>2000</v>
      </c>
    </row>
    <row r="336" spans="1:4" x14ac:dyDescent="0.25">
      <c r="A336" t="str">
        <f>T("   TG")</f>
        <v xml:space="preserve">   TG</v>
      </c>
      <c r="B336" t="str">
        <f>T("   Togo")</f>
        <v xml:space="preserve">   Togo</v>
      </c>
      <c r="C336">
        <v>2125000</v>
      </c>
      <c r="D336">
        <v>2000</v>
      </c>
    </row>
    <row r="337" spans="1:4" x14ac:dyDescent="0.25">
      <c r="A337" t="str">
        <f>T("282410")</f>
        <v>282410</v>
      </c>
      <c r="B337" t="str">
        <f>T("Monoxyde de plomb [litharge, massicot]")</f>
        <v>Monoxyde de plomb [litharge, massicot]</v>
      </c>
    </row>
    <row r="338" spans="1:4" x14ac:dyDescent="0.25">
      <c r="A338" t="str">
        <f>T("   ZZZ_Monde")</f>
        <v xml:space="preserve">   ZZZ_Monde</v>
      </c>
      <c r="B338" t="str">
        <f>T("   ZZZ_Monde")</f>
        <v xml:space="preserve">   ZZZ_Monde</v>
      </c>
      <c r="C338">
        <v>90000</v>
      </c>
      <c r="D338">
        <v>150</v>
      </c>
    </row>
    <row r="339" spans="1:4" x14ac:dyDescent="0.25">
      <c r="A339" t="str">
        <f>T("   GQ")</f>
        <v xml:space="preserve">   GQ</v>
      </c>
      <c r="B339" t="str">
        <f>T("   Guinée Equatoriale")</f>
        <v xml:space="preserve">   Guinée Equatoriale</v>
      </c>
      <c r="C339">
        <v>90000</v>
      </c>
      <c r="D339">
        <v>150</v>
      </c>
    </row>
    <row r="340" spans="1:4" x14ac:dyDescent="0.25">
      <c r="A340" t="str">
        <f>T("292910")</f>
        <v>292910</v>
      </c>
      <c r="B340" t="str">
        <f>T("Isocyanates")</f>
        <v>Isocyanates</v>
      </c>
    </row>
    <row r="341" spans="1:4" x14ac:dyDescent="0.25">
      <c r="A341" t="str">
        <f>T("   ZZZ_Monde")</f>
        <v xml:space="preserve">   ZZZ_Monde</v>
      </c>
      <c r="B341" t="str">
        <f>T("   ZZZ_Monde")</f>
        <v xml:space="preserve">   ZZZ_Monde</v>
      </c>
      <c r="C341">
        <v>35431500</v>
      </c>
      <c r="D341">
        <v>19750</v>
      </c>
    </row>
    <row r="342" spans="1:4" x14ac:dyDescent="0.25">
      <c r="A342" t="str">
        <f>T("   GH")</f>
        <v xml:space="preserve">   GH</v>
      </c>
      <c r="B342" t="str">
        <f>T("   Ghana")</f>
        <v xml:space="preserve">   Ghana</v>
      </c>
      <c r="C342">
        <v>35431500</v>
      </c>
      <c r="D342">
        <v>19750</v>
      </c>
    </row>
    <row r="343" spans="1:4" x14ac:dyDescent="0.25">
      <c r="A343" t="str">
        <f>T("294200")</f>
        <v>294200</v>
      </c>
      <c r="B343" t="str">
        <f>T("Composés organiques de constitution chimique définie présentés isolément, n.d.a.")</f>
        <v>Composés organiques de constitution chimique définie présentés isolément, n.d.a.</v>
      </c>
    </row>
    <row r="344" spans="1:4" x14ac:dyDescent="0.25">
      <c r="A344" t="str">
        <f>T("   ZZZ_Monde")</f>
        <v xml:space="preserve">   ZZZ_Monde</v>
      </c>
      <c r="B344" t="str">
        <f>T("   ZZZ_Monde")</f>
        <v xml:space="preserve">   ZZZ_Monde</v>
      </c>
      <c r="C344">
        <v>1445000</v>
      </c>
      <c r="D344">
        <v>197</v>
      </c>
    </row>
    <row r="345" spans="1:4" x14ac:dyDescent="0.25">
      <c r="A345" t="str">
        <f>T("   GA")</f>
        <v xml:space="preserve">   GA</v>
      </c>
      <c r="B345" t="str">
        <f>T("   Gabon")</f>
        <v xml:space="preserve">   Gabon</v>
      </c>
      <c r="C345">
        <v>1445000</v>
      </c>
      <c r="D345">
        <v>197</v>
      </c>
    </row>
    <row r="346" spans="1:4" x14ac:dyDescent="0.25">
      <c r="A346" t="str">
        <f>T("300390")</f>
        <v>300390</v>
      </c>
      <c r="B346" t="str">
        <f>T("Médicaments constitués par des produits mélangés entre eux, préparés à des fins thérapeutiques ou prophylactiques, mais ni présentés sous forme de doses, ni conditionnés pour la vente au détail (sauf produits du n° 3002, 3005 ou 3006, médicaments contenan")</f>
        <v>Médicaments constitués par des produits mélangés entre eux, préparés à des fins thérapeutiques ou prophylactiques, mais ni présentés sous forme de doses, ni conditionnés pour la vente au détail (sauf produits du n° 3002, 3005 ou 3006, médicaments contenan</v>
      </c>
    </row>
    <row r="347" spans="1:4" x14ac:dyDescent="0.25">
      <c r="A347" t="str">
        <f>T("   ZZZ_Monde")</f>
        <v xml:space="preserve">   ZZZ_Monde</v>
      </c>
      <c r="B347" t="str">
        <f>T("   ZZZ_Monde")</f>
        <v xml:space="preserve">   ZZZ_Monde</v>
      </c>
      <c r="C347">
        <v>849113074</v>
      </c>
      <c r="D347">
        <v>78261</v>
      </c>
    </row>
    <row r="348" spans="1:4" x14ac:dyDescent="0.25">
      <c r="A348" t="str">
        <f>T("   CM")</f>
        <v xml:space="preserve">   CM</v>
      </c>
      <c r="B348" t="str">
        <f>T("   Cameroun")</f>
        <v xml:space="preserve">   Cameroun</v>
      </c>
      <c r="C348">
        <v>848713074</v>
      </c>
      <c r="D348">
        <v>74261</v>
      </c>
    </row>
    <row r="349" spans="1:4" x14ac:dyDescent="0.25">
      <c r="A349" t="str">
        <f>T("   GA")</f>
        <v xml:space="preserve">   GA</v>
      </c>
      <c r="B349" t="str">
        <f>T("   Gabon")</f>
        <v xml:space="preserve">   Gabon</v>
      </c>
      <c r="C349">
        <v>400000</v>
      </c>
      <c r="D349">
        <v>4000</v>
      </c>
    </row>
    <row r="350" spans="1:4" x14ac:dyDescent="0.25">
      <c r="A350" t="str">
        <f>T("300490")</f>
        <v>300490</v>
      </c>
      <c r="B350" t="str">
        <f>T("Médicaments constitués par des produits mélangés ou non, préparés à des fins thérapeutiques ou prophylactiques, présentés sous forme de doses [y.c. ceux destinés à être administrés par voie percutanée] ou conditionnés pour la vente au détail (à l'excl. de")</f>
        <v>Médicaments constitués par des produits mélangés ou non, préparés à des fins thérapeutiques ou prophylactiques, présentés sous forme de doses [y.c. ceux destinés à être administrés par voie percutanée] ou conditionnés pour la vente au détail (à l'excl. de</v>
      </c>
    </row>
    <row r="351" spans="1:4" x14ac:dyDescent="0.25">
      <c r="A351" t="str">
        <f>T("   ZZZ_Monde")</f>
        <v xml:space="preserve">   ZZZ_Monde</v>
      </c>
      <c r="B351" t="str">
        <f>T("   ZZZ_Monde")</f>
        <v xml:space="preserve">   ZZZ_Monde</v>
      </c>
      <c r="C351">
        <v>104074417</v>
      </c>
      <c r="D351">
        <v>12843.4</v>
      </c>
    </row>
    <row r="352" spans="1:4" x14ac:dyDescent="0.25">
      <c r="A352" t="str">
        <f>T("   CG")</f>
        <v xml:space="preserve">   CG</v>
      </c>
      <c r="B352" t="str">
        <f>T("   Congo (Brazzaville)")</f>
        <v xml:space="preserve">   Congo (Brazzaville)</v>
      </c>
      <c r="C352">
        <v>4276483</v>
      </c>
      <c r="D352">
        <v>440</v>
      </c>
    </row>
    <row r="353" spans="1:4" x14ac:dyDescent="0.25">
      <c r="A353" t="str">
        <f>T("   CM")</f>
        <v xml:space="preserve">   CM</v>
      </c>
      <c r="B353" t="str">
        <f>T("   Cameroun")</f>
        <v xml:space="preserve">   Cameroun</v>
      </c>
      <c r="C353">
        <v>15000000</v>
      </c>
      <c r="D353">
        <v>1783.4</v>
      </c>
    </row>
    <row r="354" spans="1:4" x14ac:dyDescent="0.25">
      <c r="A354" t="str">
        <f>T("   GH")</f>
        <v xml:space="preserve">   GH</v>
      </c>
      <c r="B354" t="str">
        <f>T("   Ghana")</f>
        <v xml:space="preserve">   Ghana</v>
      </c>
      <c r="C354">
        <v>21068403</v>
      </c>
      <c r="D354">
        <v>1270</v>
      </c>
    </row>
    <row r="355" spans="1:4" x14ac:dyDescent="0.25">
      <c r="A355" t="str">
        <f>T("   GQ")</f>
        <v xml:space="preserve">   GQ</v>
      </c>
      <c r="B355" t="str">
        <f>T("   Guinée Equatoriale")</f>
        <v xml:space="preserve">   Guinée Equatoriale</v>
      </c>
      <c r="C355">
        <v>24788837</v>
      </c>
      <c r="D355">
        <v>4220</v>
      </c>
    </row>
    <row r="356" spans="1:4" x14ac:dyDescent="0.25">
      <c r="A356" t="str">
        <f>T("   TG")</f>
        <v xml:space="preserve">   TG</v>
      </c>
      <c r="B356" t="str">
        <f>T("   Togo")</f>
        <v xml:space="preserve">   Togo</v>
      </c>
      <c r="C356">
        <v>38940694</v>
      </c>
      <c r="D356">
        <v>5130</v>
      </c>
    </row>
    <row r="357" spans="1:4" x14ac:dyDescent="0.25">
      <c r="A357" t="str">
        <f>T("300590")</f>
        <v>300590</v>
      </c>
      <c r="B357" t="str">
        <f>T("OUATES, GAZES, BANDES ET ARTICLES ANALOGUES [PANSEMENTS, SPARADRAPS, SINAPISMES, P.EX.], IMPRÉGNÉS OU RECOUVERTS DE SUBSTANCES PHARMACEUTIQUES OU CONDITIONNÉS POUR LA VENTE AU DÉTAIL À DES FINS MÉDICALES, CHIRURGICALES, DENTAIRES OU VÉTÉRINAIRES (À L'EXCL")</f>
        <v>OUATES, GAZES, BANDES ET ARTICLES ANALOGUES [PANSEMENTS, SPARADRAPS, SINAPISMES, P.EX.], IMPRÉGNÉS OU RECOUVERTS DE SUBSTANCES PHARMACEUTIQUES OU CONDITIONNÉS POUR LA VENTE AU DÉTAIL À DES FINS MÉDICALES, CHIRURGICALES, DENTAIRES OU VÉTÉRINAIRES (À L'EXCL</v>
      </c>
    </row>
    <row r="358" spans="1:4" x14ac:dyDescent="0.25">
      <c r="A358" t="str">
        <f>T("   ZZZ_Monde")</f>
        <v xml:space="preserve">   ZZZ_Monde</v>
      </c>
      <c r="B358" t="str">
        <f>T("   ZZZ_Monde")</f>
        <v xml:space="preserve">   ZZZ_Monde</v>
      </c>
      <c r="C358">
        <v>24413200</v>
      </c>
      <c r="D358">
        <v>10002.5</v>
      </c>
    </row>
    <row r="359" spans="1:4" x14ac:dyDescent="0.25">
      <c r="A359" t="str">
        <f>T("   BF")</f>
        <v xml:space="preserve">   BF</v>
      </c>
      <c r="B359" t="str">
        <f>T("   Burkina Faso")</f>
        <v xml:space="preserve">   Burkina Faso</v>
      </c>
      <c r="C359">
        <v>7775000</v>
      </c>
      <c r="D359">
        <v>4325</v>
      </c>
    </row>
    <row r="360" spans="1:4" x14ac:dyDescent="0.25">
      <c r="A360" t="str">
        <f>T("   NE")</f>
        <v xml:space="preserve">   NE</v>
      </c>
      <c r="B360" t="str">
        <f>T("   Niger")</f>
        <v xml:space="preserve">   Niger</v>
      </c>
      <c r="C360">
        <v>10200000</v>
      </c>
      <c r="D360">
        <v>2355</v>
      </c>
    </row>
    <row r="361" spans="1:4" x14ac:dyDescent="0.25">
      <c r="A361" t="str">
        <f>T("   TG")</f>
        <v xml:space="preserve">   TG</v>
      </c>
      <c r="B361" t="str">
        <f>T("   Togo")</f>
        <v xml:space="preserve">   Togo</v>
      </c>
      <c r="C361">
        <v>6438200</v>
      </c>
      <c r="D361">
        <v>3322.5</v>
      </c>
    </row>
    <row r="362" spans="1:4" x14ac:dyDescent="0.25">
      <c r="A362" t="str">
        <f>T("310230")</f>
        <v>310230</v>
      </c>
      <c r="B362" t="str">
        <f>T("Nitrate d'ammonium, même en solution aqueuse (à l'excl. des produits présentés soit en tablettes ou formes simil., soit en emballages d'un poids brut &lt;= 10 kg)")</f>
        <v>Nitrate d'ammonium, même en solution aqueuse (à l'excl. des produits présentés soit en tablettes ou formes simil., soit en emballages d'un poids brut &lt;= 10 kg)</v>
      </c>
    </row>
    <row r="363" spans="1:4" x14ac:dyDescent="0.25">
      <c r="A363" t="str">
        <f>T("   ZZZ_Monde")</f>
        <v xml:space="preserve">   ZZZ_Monde</v>
      </c>
      <c r="B363" t="str">
        <f>T("   ZZZ_Monde")</f>
        <v xml:space="preserve">   ZZZ_Monde</v>
      </c>
      <c r="C363">
        <v>8133860</v>
      </c>
      <c r="D363">
        <v>20000</v>
      </c>
    </row>
    <row r="364" spans="1:4" x14ac:dyDescent="0.25">
      <c r="A364" t="str">
        <f>T("   TG")</f>
        <v xml:space="preserve">   TG</v>
      </c>
      <c r="B364" t="str">
        <f>T("   Togo")</f>
        <v xml:space="preserve">   Togo</v>
      </c>
      <c r="C364">
        <v>8133860</v>
      </c>
      <c r="D364">
        <v>20000</v>
      </c>
    </row>
    <row r="365" spans="1:4" x14ac:dyDescent="0.25">
      <c r="A365" t="str">
        <f>T("320710")</f>
        <v>320710</v>
      </c>
      <c r="B365" t="str">
        <f>T("Pigments, opacifiants et couleurs préparés et préparations simil., des types utilisés pour la céramique, l'émaillerie ou la verrerie")</f>
        <v>Pigments, opacifiants et couleurs préparés et préparations simil., des types utilisés pour la céramique, l'émaillerie ou la verrerie</v>
      </c>
    </row>
    <row r="366" spans="1:4" x14ac:dyDescent="0.25">
      <c r="A366" t="str">
        <f>T("   ZZZ_Monde")</f>
        <v xml:space="preserve">   ZZZ_Monde</v>
      </c>
      <c r="B366" t="str">
        <f>T("   ZZZ_Monde")</f>
        <v xml:space="preserve">   ZZZ_Monde</v>
      </c>
      <c r="C366">
        <v>600000</v>
      </c>
      <c r="D366">
        <v>2000</v>
      </c>
    </row>
    <row r="367" spans="1:4" x14ac:dyDescent="0.25">
      <c r="A367" t="str">
        <f>T("   TG")</f>
        <v xml:space="preserve">   TG</v>
      </c>
      <c r="B367" t="str">
        <f>T("   Togo")</f>
        <v xml:space="preserve">   Togo</v>
      </c>
      <c r="C367">
        <v>600000</v>
      </c>
      <c r="D367">
        <v>2000</v>
      </c>
    </row>
    <row r="368" spans="1:4" x14ac:dyDescent="0.25">
      <c r="A368" t="str">
        <f>T("320820")</f>
        <v>320820</v>
      </c>
      <c r="B368" t="str">
        <f>T("PEINTURES ET VERNIS À BASE DE POLYMÈRES ACRYLIQUES OU VINYLIQUES, DISPERSÉS OU DISSOUS DANS UN MILIEU NON-AQUEUX, ET PRODUITS À BASE DE POLYMÈRES ACRYLIQUES OU VINYLIQUES EN SOLUTION DANS DES SOLVANTS ORGANIQUES VOLATILS, POUR AUTANT QUE LA PROPORTION DU")</f>
        <v>PEINTURES ET VERNIS À BASE DE POLYMÈRES ACRYLIQUES OU VINYLIQUES, DISPERSÉS OU DISSOUS DANS UN MILIEU NON-AQUEUX, ET PRODUITS À BASE DE POLYMÈRES ACRYLIQUES OU VINYLIQUES EN SOLUTION DANS DES SOLVANTS ORGANIQUES VOLATILS, POUR AUTANT QUE LA PROPORTION DU</v>
      </c>
    </row>
    <row r="369" spans="1:4" x14ac:dyDescent="0.25">
      <c r="A369" t="str">
        <f>T("   ZZZ_Monde")</f>
        <v xml:space="preserve">   ZZZ_Monde</v>
      </c>
      <c r="B369" t="str">
        <f>T("   ZZZ_Monde")</f>
        <v xml:space="preserve">   ZZZ_Monde</v>
      </c>
      <c r="C369">
        <v>63982104</v>
      </c>
      <c r="D369">
        <v>128205</v>
      </c>
    </row>
    <row r="370" spans="1:4" x14ac:dyDescent="0.25">
      <c r="A370" t="str">
        <f>T("   GH")</f>
        <v xml:space="preserve">   GH</v>
      </c>
      <c r="B370" t="str">
        <f>T("   Ghana")</f>
        <v xml:space="preserve">   Ghana</v>
      </c>
      <c r="C370">
        <v>30113951</v>
      </c>
      <c r="D370">
        <v>67690</v>
      </c>
    </row>
    <row r="371" spans="1:4" x14ac:dyDescent="0.25">
      <c r="A371" t="str">
        <f>T("   GN")</f>
        <v xml:space="preserve">   GN</v>
      </c>
      <c r="B371" t="str">
        <f>T("   Guinée")</f>
        <v xml:space="preserve">   Guinée</v>
      </c>
      <c r="C371">
        <v>517938</v>
      </c>
      <c r="D371">
        <v>2268</v>
      </c>
    </row>
    <row r="372" spans="1:4" x14ac:dyDescent="0.25">
      <c r="A372" t="str">
        <f>T("   TG")</f>
        <v xml:space="preserve">   TG</v>
      </c>
      <c r="B372" t="str">
        <f>T("   Togo")</f>
        <v xml:space="preserve">   Togo</v>
      </c>
      <c r="C372">
        <v>33350215</v>
      </c>
      <c r="D372">
        <v>58247</v>
      </c>
    </row>
    <row r="373" spans="1:4" x14ac:dyDescent="0.25">
      <c r="A373" t="str">
        <f>T("320890")</f>
        <v>320890</v>
      </c>
      <c r="B373" t="str">
        <f>T("PEINTURES ET VERNIS À BASE DE POLYMÈRES SYNTHÉTIQUES OU DE POLYMÈRES NATURELS MODIFIÉS, DISPERSÉS OU DISSOUS DANS UN MILIEU NON-AQUEUX; PRODUITS VISÉS DANS LE LIBELLÉ DU N° 3901 À 3913 EN SOLUTION DANS DES SOLVANTS ORGANIQUES VOLATILS, POUR AUTANT QUE LA")</f>
        <v>PEINTURES ET VERNIS À BASE DE POLYMÈRES SYNTHÉTIQUES OU DE POLYMÈRES NATURELS MODIFIÉS, DISPERSÉS OU DISSOUS DANS UN MILIEU NON-AQUEUX; PRODUITS VISÉS DANS LE LIBELLÉ DU N° 3901 À 3913 EN SOLUTION DANS DES SOLVANTS ORGANIQUES VOLATILS, POUR AUTANT QUE LA</v>
      </c>
    </row>
    <row r="374" spans="1:4" x14ac:dyDescent="0.25">
      <c r="A374" t="str">
        <f>T("   ZZZ_Monde")</f>
        <v xml:space="preserve">   ZZZ_Monde</v>
      </c>
      <c r="B374" t="str">
        <f>T("   ZZZ_Monde")</f>
        <v xml:space="preserve">   ZZZ_Monde</v>
      </c>
      <c r="C374">
        <v>89518733</v>
      </c>
      <c r="D374">
        <v>29402</v>
      </c>
    </row>
    <row r="375" spans="1:4" x14ac:dyDescent="0.25">
      <c r="A375" t="str">
        <f>T("   BF")</f>
        <v xml:space="preserve">   BF</v>
      </c>
      <c r="B375" t="str">
        <f>T("   Burkina Faso")</f>
        <v xml:space="preserve">   Burkina Faso</v>
      </c>
      <c r="C375">
        <v>33106902</v>
      </c>
      <c r="D375">
        <v>7170</v>
      </c>
    </row>
    <row r="376" spans="1:4" x14ac:dyDescent="0.25">
      <c r="A376" t="str">
        <f>T("   ML")</f>
        <v xml:space="preserve">   ML</v>
      </c>
      <c r="B376" t="str">
        <f>T("   Mali")</f>
        <v xml:space="preserve">   Mali</v>
      </c>
      <c r="C376">
        <v>900000</v>
      </c>
      <c r="D376">
        <v>1600</v>
      </c>
    </row>
    <row r="377" spans="1:4" x14ac:dyDescent="0.25">
      <c r="A377" t="str">
        <f>T("   TD")</f>
        <v xml:space="preserve">   TD</v>
      </c>
      <c r="B377" t="str">
        <f>T("   Tchad")</f>
        <v xml:space="preserve">   Tchad</v>
      </c>
      <c r="C377">
        <v>15063600</v>
      </c>
      <c r="D377">
        <v>6540</v>
      </c>
    </row>
    <row r="378" spans="1:4" x14ac:dyDescent="0.25">
      <c r="A378" t="str">
        <f>T("   TG")</f>
        <v xml:space="preserve">   TG</v>
      </c>
      <c r="B378" t="str">
        <f>T("   Togo")</f>
        <v xml:space="preserve">   Togo</v>
      </c>
      <c r="C378">
        <v>40448231</v>
      </c>
      <c r="D378">
        <v>14092</v>
      </c>
    </row>
    <row r="379" spans="1:4" x14ac:dyDescent="0.25">
      <c r="A379" t="str">
        <f>T("320910")</f>
        <v>320910</v>
      </c>
      <c r="B379" t="str">
        <f>T("Peintures et vernis à base de polymères acryliques ou vinyliques, dispersés ou dissous dans un milieu aqueux")</f>
        <v>Peintures et vernis à base de polymères acryliques ou vinyliques, dispersés ou dissous dans un milieu aqueux</v>
      </c>
    </row>
    <row r="380" spans="1:4" x14ac:dyDescent="0.25">
      <c r="A380" t="str">
        <f>T("   ZZZ_Monde")</f>
        <v xml:space="preserve">   ZZZ_Monde</v>
      </c>
      <c r="B380" t="str">
        <f>T("   ZZZ_Monde")</f>
        <v xml:space="preserve">   ZZZ_Monde</v>
      </c>
      <c r="C380">
        <v>9860638</v>
      </c>
      <c r="D380">
        <v>15120</v>
      </c>
    </row>
    <row r="381" spans="1:4" x14ac:dyDescent="0.25">
      <c r="A381" t="str">
        <f>T("   TG")</f>
        <v xml:space="preserve">   TG</v>
      </c>
      <c r="B381" t="str">
        <f>T("   Togo")</f>
        <v xml:space="preserve">   Togo</v>
      </c>
      <c r="C381">
        <v>9860638</v>
      </c>
      <c r="D381">
        <v>15120</v>
      </c>
    </row>
    <row r="382" spans="1:4" x14ac:dyDescent="0.25">
      <c r="A382" t="str">
        <f>T("320990")</f>
        <v>320990</v>
      </c>
      <c r="B382" t="str">
        <f>T("Peintures et vernis à base de polymères synthétiques ou de polymères naturels modifiés, dispersés ou dissous dans un milieu aqueux (à l'excl. des produits à base de polymères acryliques ou vinyliques)")</f>
        <v>Peintures et vernis à base de polymères synthétiques ou de polymères naturels modifiés, dispersés ou dissous dans un milieu aqueux (à l'excl. des produits à base de polymères acryliques ou vinyliques)</v>
      </c>
    </row>
    <row r="383" spans="1:4" x14ac:dyDescent="0.25">
      <c r="A383" t="str">
        <f>T("   ZZZ_Monde")</f>
        <v xml:space="preserve">   ZZZ_Monde</v>
      </c>
      <c r="B383" t="str">
        <f>T("   ZZZ_Monde")</f>
        <v xml:space="preserve">   ZZZ_Monde</v>
      </c>
      <c r="C383">
        <v>10018806</v>
      </c>
      <c r="D383">
        <v>15686</v>
      </c>
    </row>
    <row r="384" spans="1:4" x14ac:dyDescent="0.25">
      <c r="A384" t="str">
        <f>T("   TG")</f>
        <v xml:space="preserve">   TG</v>
      </c>
      <c r="B384" t="str">
        <f>T("   Togo")</f>
        <v xml:space="preserve">   Togo</v>
      </c>
      <c r="C384">
        <v>10018806</v>
      </c>
      <c r="D384">
        <v>15686</v>
      </c>
    </row>
    <row r="385" spans="1:4" x14ac:dyDescent="0.25">
      <c r="A385" t="str">
        <f>T("321290")</f>
        <v>321290</v>
      </c>
      <c r="B385" t="str">
        <f>T("PIGMENTS, Y.C. LES POUDRES ET FLOCONS MÉTALLIQUES, DISPERSÉS DANS DES MILIEUX NON-AQUEUX, SOUS FORME DE LIQUIDE OU DE PÂTE, DES TYPES UTILISÉS POUR LA FABRICATION DE PEINTURES; TEINTURES ET AUTRES MATIÈRES COLORANTES, N.D.A., PRÉSENTÉES DANS DES FORMES OU")</f>
        <v>PIGMENTS, Y.C. LES POUDRES ET FLOCONS MÉTALLIQUES, DISPERSÉS DANS DES MILIEUX NON-AQUEUX, SOUS FORME DE LIQUIDE OU DE PÂTE, DES TYPES UTILISÉS POUR LA FABRICATION DE PEINTURES; TEINTURES ET AUTRES MATIÈRES COLORANTES, N.D.A., PRÉSENTÉES DANS DES FORMES OU</v>
      </c>
    </row>
    <row r="386" spans="1:4" x14ac:dyDescent="0.25">
      <c r="A386" t="str">
        <f>T("   ZZZ_Monde")</f>
        <v xml:space="preserve">   ZZZ_Monde</v>
      </c>
      <c r="B386" t="str">
        <f>T("   ZZZ_Monde")</f>
        <v xml:space="preserve">   ZZZ_Monde</v>
      </c>
      <c r="C386">
        <v>832800</v>
      </c>
      <c r="D386">
        <v>120</v>
      </c>
    </row>
    <row r="387" spans="1:4" x14ac:dyDescent="0.25">
      <c r="A387" t="str">
        <f>T("   TG")</f>
        <v xml:space="preserve">   TG</v>
      </c>
      <c r="B387" t="str">
        <f>T("   Togo")</f>
        <v xml:space="preserve">   Togo</v>
      </c>
      <c r="C387">
        <v>832800</v>
      </c>
      <c r="D387">
        <v>120</v>
      </c>
    </row>
    <row r="388" spans="1:4" x14ac:dyDescent="0.25">
      <c r="A388" t="str">
        <f>T("330300")</f>
        <v>330300</v>
      </c>
      <c r="B388" t="str">
        <f>T("Parfums et eaux de toilette (à l'excl. des préparations pour l'après-rasage [lotions after-shave] et des désodorisants corporels)")</f>
        <v>Parfums et eaux de toilette (à l'excl. des préparations pour l'après-rasage [lotions after-shave] et des désodorisants corporels)</v>
      </c>
    </row>
    <row r="389" spans="1:4" x14ac:dyDescent="0.25">
      <c r="A389" t="str">
        <f>T("   ZZZ_Monde")</f>
        <v xml:space="preserve">   ZZZ_Monde</v>
      </c>
      <c r="B389" t="str">
        <f>T("   ZZZ_Monde")</f>
        <v xml:space="preserve">   ZZZ_Monde</v>
      </c>
      <c r="C389">
        <v>10298500</v>
      </c>
      <c r="D389">
        <v>2750</v>
      </c>
    </row>
    <row r="390" spans="1:4" x14ac:dyDescent="0.25">
      <c r="A390" t="str">
        <f>T("   GQ")</f>
        <v xml:space="preserve">   GQ</v>
      </c>
      <c r="B390" t="str">
        <f>T("   Guinée Equatoriale")</f>
        <v xml:space="preserve">   Guinée Equatoriale</v>
      </c>
      <c r="C390">
        <v>338500</v>
      </c>
      <c r="D390">
        <v>250</v>
      </c>
    </row>
    <row r="391" spans="1:4" x14ac:dyDescent="0.25">
      <c r="A391" t="str">
        <f>T("   TG")</f>
        <v xml:space="preserve">   TG</v>
      </c>
      <c r="B391" t="str">
        <f>T("   Togo")</f>
        <v xml:space="preserve">   Togo</v>
      </c>
      <c r="C391">
        <v>9960000</v>
      </c>
      <c r="D391">
        <v>2500</v>
      </c>
    </row>
    <row r="392" spans="1:4" x14ac:dyDescent="0.25">
      <c r="A392" t="str">
        <f>T("330491")</f>
        <v>330491</v>
      </c>
      <c r="B392" t="str">
        <f>T("Poudres pour le maquillage ou l'entretien ou les soins de la peau, y.c. les poudres pour bébés et les poudres compactes (à l'excl. des médicaments)")</f>
        <v>Poudres pour le maquillage ou l'entretien ou les soins de la peau, y.c. les poudres pour bébés et les poudres compactes (à l'excl. des médicaments)</v>
      </c>
    </row>
    <row r="393" spans="1:4" x14ac:dyDescent="0.25">
      <c r="A393" t="str">
        <f>T("   ZZZ_Monde")</f>
        <v xml:space="preserve">   ZZZ_Monde</v>
      </c>
      <c r="B393" t="str">
        <f>T("   ZZZ_Monde")</f>
        <v xml:space="preserve">   ZZZ_Monde</v>
      </c>
      <c r="C393">
        <v>1667000</v>
      </c>
      <c r="D393">
        <v>500</v>
      </c>
    </row>
    <row r="394" spans="1:4" x14ac:dyDescent="0.25">
      <c r="A394" t="str">
        <f>T("   TG")</f>
        <v xml:space="preserve">   TG</v>
      </c>
      <c r="B394" t="str">
        <f>T("   Togo")</f>
        <v xml:space="preserve">   Togo</v>
      </c>
      <c r="C394">
        <v>1667000</v>
      </c>
      <c r="D394">
        <v>500</v>
      </c>
    </row>
    <row r="395" spans="1:4" x14ac:dyDescent="0.25">
      <c r="A395" t="str">
        <f>T("330499")</f>
        <v>330499</v>
      </c>
      <c r="B395" t="str">
        <f>T("Produits de beauté ou de maquillage préparés et préparations pour l'entretien ou les soins de la peau, y.c. les préparations antisolaires et les préparations pour bronzer (à l'excl. des médicaments, des produits de maquillage pour les lèvres ou les yeux,")</f>
        <v>Produits de beauté ou de maquillage préparés et préparations pour l'entretien ou les soins de la peau, y.c. les préparations antisolaires et les préparations pour bronzer (à l'excl. des médicaments, des produits de maquillage pour les lèvres ou les yeux,</v>
      </c>
    </row>
    <row r="396" spans="1:4" x14ac:dyDescent="0.25">
      <c r="A396" t="str">
        <f>T("   ZZZ_Monde")</f>
        <v xml:space="preserve">   ZZZ_Monde</v>
      </c>
      <c r="B396" t="str">
        <f>T("   ZZZ_Monde")</f>
        <v xml:space="preserve">   ZZZ_Monde</v>
      </c>
      <c r="C396">
        <v>917200</v>
      </c>
      <c r="D396">
        <v>1750</v>
      </c>
    </row>
    <row r="397" spans="1:4" x14ac:dyDescent="0.25">
      <c r="A397" t="str">
        <f>T("   GA")</f>
        <v xml:space="preserve">   GA</v>
      </c>
      <c r="B397" t="str">
        <f>T("   Gabon")</f>
        <v xml:space="preserve">   Gabon</v>
      </c>
      <c r="C397">
        <v>825000</v>
      </c>
      <c r="D397">
        <v>1500</v>
      </c>
    </row>
    <row r="398" spans="1:4" x14ac:dyDescent="0.25">
      <c r="A398" t="str">
        <f>T("   GQ")</f>
        <v xml:space="preserve">   GQ</v>
      </c>
      <c r="B398" t="str">
        <f>T("   Guinée Equatoriale")</f>
        <v xml:space="preserve">   Guinée Equatoriale</v>
      </c>
      <c r="C398">
        <v>92200</v>
      </c>
      <c r="D398">
        <v>250</v>
      </c>
    </row>
    <row r="399" spans="1:4" x14ac:dyDescent="0.25">
      <c r="A399" t="str">
        <f>T("330610")</f>
        <v>330610</v>
      </c>
      <c r="B399" t="str">
        <f>T("Dentifrices, préparés, même des types utilisés par les dentistes")</f>
        <v>Dentifrices, préparés, même des types utilisés par les dentistes</v>
      </c>
    </row>
    <row r="400" spans="1:4" x14ac:dyDescent="0.25">
      <c r="A400" t="str">
        <f>T("   ZZZ_Monde")</f>
        <v xml:space="preserve">   ZZZ_Monde</v>
      </c>
      <c r="B400" t="str">
        <f>T("   ZZZ_Monde")</f>
        <v xml:space="preserve">   ZZZ_Monde</v>
      </c>
      <c r="C400">
        <v>3000000</v>
      </c>
      <c r="D400">
        <v>60000</v>
      </c>
    </row>
    <row r="401" spans="1:4" x14ac:dyDescent="0.25">
      <c r="A401" t="str">
        <f>T("   NG")</f>
        <v xml:space="preserve">   NG</v>
      </c>
      <c r="B401" t="str">
        <f>T("   Nigéria")</f>
        <v xml:space="preserve">   Nigéria</v>
      </c>
      <c r="C401">
        <v>3000000</v>
      </c>
      <c r="D401">
        <v>60000</v>
      </c>
    </row>
    <row r="402" spans="1:4" x14ac:dyDescent="0.25">
      <c r="A402" t="str">
        <f>T("330720")</f>
        <v>330720</v>
      </c>
      <c r="B402" t="str">
        <f>T("Désodorisants corporels et antisudoraux, préparés")</f>
        <v>Désodorisants corporels et antisudoraux, préparés</v>
      </c>
    </row>
    <row r="403" spans="1:4" x14ac:dyDescent="0.25">
      <c r="A403" t="str">
        <f>T("   ZZZ_Monde")</f>
        <v xml:space="preserve">   ZZZ_Monde</v>
      </c>
      <c r="B403" t="str">
        <f>T("   ZZZ_Monde")</f>
        <v xml:space="preserve">   ZZZ_Monde</v>
      </c>
      <c r="C403">
        <v>8064000</v>
      </c>
      <c r="D403">
        <v>2000</v>
      </c>
    </row>
    <row r="404" spans="1:4" x14ac:dyDescent="0.25">
      <c r="A404" t="str">
        <f>T("   TG")</f>
        <v xml:space="preserve">   TG</v>
      </c>
      <c r="B404" t="str">
        <f>T("   Togo")</f>
        <v xml:space="preserve">   Togo</v>
      </c>
      <c r="C404">
        <v>8064000</v>
      </c>
      <c r="D404">
        <v>2000</v>
      </c>
    </row>
    <row r="405" spans="1:4" x14ac:dyDescent="0.25">
      <c r="A405" t="str">
        <f>T("340111")</f>
        <v>340111</v>
      </c>
      <c r="B405" t="str">
        <f>T("Savons, produits et préparations organiques tensio-actifs à usage de savon, en barres, en pains, en morceaux ou en sujets frappés, et papier, ouates, feutres et nontissés, imprégnés, enduits ou recouverts de savon ou de détergents, pour la toilette, y.c.")</f>
        <v>Savons, produits et préparations organiques tensio-actifs à usage de savon, en barres, en pains, en morceaux ou en sujets frappés, et papier, ouates, feutres et nontissés, imprégnés, enduits ou recouverts de savon ou de détergents, pour la toilette, y.c.</v>
      </c>
    </row>
    <row r="406" spans="1:4" x14ac:dyDescent="0.25">
      <c r="A406" t="str">
        <f>T("   ZZZ_Monde")</f>
        <v xml:space="preserve">   ZZZ_Monde</v>
      </c>
      <c r="B406" t="str">
        <f>T("   ZZZ_Monde")</f>
        <v xml:space="preserve">   ZZZ_Monde</v>
      </c>
      <c r="C406">
        <v>19922892</v>
      </c>
      <c r="D406">
        <v>18763</v>
      </c>
    </row>
    <row r="407" spans="1:4" x14ac:dyDescent="0.25">
      <c r="A407" t="str">
        <f>T("   SN")</f>
        <v xml:space="preserve">   SN</v>
      </c>
      <c r="B407" t="str">
        <f>T("   Sénégal")</f>
        <v xml:space="preserve">   Sénégal</v>
      </c>
      <c r="C407">
        <v>2016773</v>
      </c>
      <c r="D407">
        <v>370</v>
      </c>
    </row>
    <row r="408" spans="1:4" x14ac:dyDescent="0.25">
      <c r="A408" t="str">
        <f>T("   US")</f>
        <v xml:space="preserve">   US</v>
      </c>
      <c r="B408" t="str">
        <f>T("   Etats-Unis")</f>
        <v xml:space="preserve">   Etats-Unis</v>
      </c>
      <c r="C408">
        <v>17906119</v>
      </c>
      <c r="D408">
        <v>18393</v>
      </c>
    </row>
    <row r="409" spans="1:4" x14ac:dyDescent="0.25">
      <c r="A409" t="str">
        <f>T("340119")</f>
        <v>340119</v>
      </c>
      <c r="B409" t="str">
        <f>T("Savons, produits et préparations organiques tensio-actifs à usage de savon, en barres, en pains, en morceaux ou en sujets frappés, et papier, ouates, feutres et nontissés, imprégnés, enduits ou recouverts de savon ou de détergents (à l'excl. des produits")</f>
        <v>Savons, produits et préparations organiques tensio-actifs à usage de savon, en barres, en pains, en morceaux ou en sujets frappés, et papier, ouates, feutres et nontissés, imprégnés, enduits ou recouverts de savon ou de détergents (à l'excl. des produits</v>
      </c>
    </row>
    <row r="410" spans="1:4" x14ac:dyDescent="0.25">
      <c r="A410" t="str">
        <f>T("   ZZZ_Monde")</f>
        <v xml:space="preserve">   ZZZ_Monde</v>
      </c>
      <c r="B410" t="str">
        <f>T("   ZZZ_Monde")</f>
        <v xml:space="preserve">   ZZZ_Monde</v>
      </c>
      <c r="C410">
        <v>44431800</v>
      </c>
      <c r="D410">
        <v>86047</v>
      </c>
    </row>
    <row r="411" spans="1:4" x14ac:dyDescent="0.25">
      <c r="A411" t="str">
        <f>T("   CG")</f>
        <v xml:space="preserve">   CG</v>
      </c>
      <c r="B411" t="str">
        <f>T("   Congo (Brazzaville)")</f>
        <v xml:space="preserve">   Congo (Brazzaville)</v>
      </c>
      <c r="C411">
        <v>1230000</v>
      </c>
      <c r="D411">
        <v>20000</v>
      </c>
    </row>
    <row r="412" spans="1:4" x14ac:dyDescent="0.25">
      <c r="A412" t="str">
        <f>T("   FR")</f>
        <v xml:space="preserve">   FR</v>
      </c>
      <c r="B412" t="str">
        <f>T("   France")</f>
        <v xml:space="preserve">   France</v>
      </c>
      <c r="C412">
        <v>45000</v>
      </c>
      <c r="D412">
        <v>171</v>
      </c>
    </row>
    <row r="413" spans="1:4" x14ac:dyDescent="0.25">
      <c r="A413" t="str">
        <f>T("   GQ")</f>
        <v xml:space="preserve">   GQ</v>
      </c>
      <c r="B413" t="str">
        <f>T("   Guinée Equatoriale")</f>
        <v xml:space="preserve">   Guinée Equatoriale</v>
      </c>
      <c r="C413">
        <v>219300</v>
      </c>
      <c r="D413">
        <v>1800</v>
      </c>
    </row>
    <row r="414" spans="1:4" x14ac:dyDescent="0.25">
      <c r="A414" t="str">
        <f>T("   NG")</f>
        <v xml:space="preserve">   NG</v>
      </c>
      <c r="B414" t="str">
        <f>T("   Nigéria")</f>
        <v xml:space="preserve">   Nigéria</v>
      </c>
      <c r="C414">
        <v>41937500</v>
      </c>
      <c r="D414">
        <v>61076</v>
      </c>
    </row>
    <row r="415" spans="1:4" x14ac:dyDescent="0.25">
      <c r="A415" t="str">
        <f>T("   SN")</f>
        <v xml:space="preserve">   SN</v>
      </c>
      <c r="B415" t="str">
        <f>T("   Sénégal")</f>
        <v xml:space="preserve">   Sénégal</v>
      </c>
      <c r="C415">
        <v>1000000</v>
      </c>
      <c r="D415">
        <v>3000</v>
      </c>
    </row>
    <row r="416" spans="1:4" x14ac:dyDescent="0.25">
      <c r="A416" t="str">
        <f>T("340120")</f>
        <v>340120</v>
      </c>
      <c r="B416" t="str">
        <f>T("Savons en flocons, en paillettes, en granulés ou en poudres et savons liquides ou pâteux")</f>
        <v>Savons en flocons, en paillettes, en granulés ou en poudres et savons liquides ou pâteux</v>
      </c>
    </row>
    <row r="417" spans="1:4" x14ac:dyDescent="0.25">
      <c r="A417" t="str">
        <f>T("   ZZZ_Monde")</f>
        <v xml:space="preserve">   ZZZ_Monde</v>
      </c>
      <c r="B417" t="str">
        <f>T("   ZZZ_Monde")</f>
        <v xml:space="preserve">   ZZZ_Monde</v>
      </c>
      <c r="C417">
        <v>100000</v>
      </c>
      <c r="D417">
        <v>400</v>
      </c>
    </row>
    <row r="418" spans="1:4" x14ac:dyDescent="0.25">
      <c r="A418" t="str">
        <f>T("   FR")</f>
        <v xml:space="preserve">   FR</v>
      </c>
      <c r="B418" t="str">
        <f>T("   France")</f>
        <v xml:space="preserve">   France</v>
      </c>
      <c r="C418">
        <v>100000</v>
      </c>
      <c r="D418">
        <v>400</v>
      </c>
    </row>
    <row r="419" spans="1:4" x14ac:dyDescent="0.25">
      <c r="A419" t="str">
        <f>T("340212")</f>
        <v>340212</v>
      </c>
      <c r="B419" t="str">
        <f>T("Agents de surface organiques, cationiques, même conditionnés pour la vente au détail (à l'excl. des savons)")</f>
        <v>Agents de surface organiques, cationiques, même conditionnés pour la vente au détail (à l'excl. des savons)</v>
      </c>
    </row>
    <row r="420" spans="1:4" x14ac:dyDescent="0.25">
      <c r="A420" t="str">
        <f>T("   ZZZ_Monde")</f>
        <v xml:space="preserve">   ZZZ_Monde</v>
      </c>
      <c r="B420" t="str">
        <f>T("   ZZZ_Monde")</f>
        <v xml:space="preserve">   ZZZ_Monde</v>
      </c>
      <c r="C420">
        <v>2636080</v>
      </c>
      <c r="D420">
        <v>937</v>
      </c>
    </row>
    <row r="421" spans="1:4" x14ac:dyDescent="0.25">
      <c r="A421" t="str">
        <f>T("   TG")</f>
        <v xml:space="preserve">   TG</v>
      </c>
      <c r="B421" t="str">
        <f>T("   Togo")</f>
        <v xml:space="preserve">   Togo</v>
      </c>
      <c r="C421">
        <v>2636080</v>
      </c>
      <c r="D421">
        <v>937</v>
      </c>
    </row>
    <row r="422" spans="1:4" x14ac:dyDescent="0.25">
      <c r="A422" t="str">
        <f>T("360200")</f>
        <v>360200</v>
      </c>
      <c r="B422" t="str">
        <f>T("Explosifs préparés (à l'excl. des poudres propulsives)")</f>
        <v>Explosifs préparés (à l'excl. des poudres propulsives)</v>
      </c>
    </row>
    <row r="423" spans="1:4" x14ac:dyDescent="0.25">
      <c r="A423" t="str">
        <f>T("   ZZZ_Monde")</f>
        <v xml:space="preserve">   ZZZ_Monde</v>
      </c>
      <c r="B423" t="str">
        <f>T("   ZZZ_Monde")</f>
        <v xml:space="preserve">   ZZZ_Monde</v>
      </c>
      <c r="C423">
        <v>20913000</v>
      </c>
      <c r="D423">
        <v>18482</v>
      </c>
    </row>
    <row r="424" spans="1:4" x14ac:dyDescent="0.25">
      <c r="A424" t="str">
        <f>T("   TG")</f>
        <v xml:space="preserve">   TG</v>
      </c>
      <c r="B424" t="str">
        <f>T("   Togo")</f>
        <v xml:space="preserve">   Togo</v>
      </c>
      <c r="C424">
        <v>20913000</v>
      </c>
      <c r="D424">
        <v>18482</v>
      </c>
    </row>
    <row r="425" spans="1:4" x14ac:dyDescent="0.25">
      <c r="A425" t="str">
        <f>T("360300")</f>
        <v>360300</v>
      </c>
      <c r="B425" t="str">
        <f>T("Mèches de sûreté; cordeaux détonants; amorces et capsules fulminantes; allumeurs; détonateurs électriques (à l'excl. des fusées d'obus et des douilles, munies ou non de leurs amorces)")</f>
        <v>Mèches de sûreté; cordeaux détonants; amorces et capsules fulminantes; allumeurs; détonateurs électriques (à l'excl. des fusées d'obus et des douilles, munies ou non de leurs amorces)</v>
      </c>
    </row>
    <row r="426" spans="1:4" x14ac:dyDescent="0.25">
      <c r="A426" t="str">
        <f>T("   ZZZ_Monde")</f>
        <v xml:space="preserve">   ZZZ_Monde</v>
      </c>
      <c r="B426" t="str">
        <f>T("   ZZZ_Monde")</f>
        <v xml:space="preserve">   ZZZ_Monde</v>
      </c>
      <c r="C426">
        <v>6366600</v>
      </c>
      <c r="D426">
        <v>3198</v>
      </c>
    </row>
    <row r="427" spans="1:4" x14ac:dyDescent="0.25">
      <c r="A427" t="str">
        <f>T("   TG")</f>
        <v xml:space="preserve">   TG</v>
      </c>
      <c r="B427" t="str">
        <f>T("   Togo")</f>
        <v xml:space="preserve">   Togo</v>
      </c>
      <c r="C427">
        <v>6366600</v>
      </c>
      <c r="D427">
        <v>3198</v>
      </c>
    </row>
    <row r="428" spans="1:4" x14ac:dyDescent="0.25">
      <c r="A428" t="str">
        <f>T("380840")</f>
        <v>380840</v>
      </c>
      <c r="B428" t="str">
        <f>T("Désinfectants et produits simil., présentés dans des formes ou emballages de vente au détail ou à l'état de préparations ou sous forme d'articles")</f>
        <v>Désinfectants et produits simil., présentés dans des formes ou emballages de vente au détail ou à l'état de préparations ou sous forme d'articles</v>
      </c>
    </row>
    <row r="429" spans="1:4" x14ac:dyDescent="0.25">
      <c r="A429" t="str">
        <f>T("   ZZZ_Monde")</f>
        <v xml:space="preserve">   ZZZ_Monde</v>
      </c>
      <c r="B429" t="str">
        <f>T("   ZZZ_Monde")</f>
        <v xml:space="preserve">   ZZZ_Monde</v>
      </c>
      <c r="C429">
        <v>83286868</v>
      </c>
      <c r="D429">
        <v>144000</v>
      </c>
    </row>
    <row r="430" spans="1:4" x14ac:dyDescent="0.25">
      <c r="A430" t="str">
        <f>T("   FR")</f>
        <v xml:space="preserve">   FR</v>
      </c>
      <c r="B430" t="str">
        <f>T("   France")</f>
        <v xml:space="preserve">   France</v>
      </c>
      <c r="C430">
        <v>44112936</v>
      </c>
      <c r="D430">
        <v>76000</v>
      </c>
    </row>
    <row r="431" spans="1:4" x14ac:dyDescent="0.25">
      <c r="A431" t="str">
        <f>T("   IN")</f>
        <v xml:space="preserve">   IN</v>
      </c>
      <c r="B431" t="str">
        <f>T("   Inde")</f>
        <v xml:space="preserve">   Inde</v>
      </c>
      <c r="C431">
        <v>39173932</v>
      </c>
      <c r="D431">
        <v>68000</v>
      </c>
    </row>
    <row r="432" spans="1:4" x14ac:dyDescent="0.25">
      <c r="A432" t="str">
        <f>T("381400")</f>
        <v>381400</v>
      </c>
      <c r="B432" t="str">
        <f>T("Solvants et diluants organiques composites, n.d.a.; préparations conçues pour enlever les peintures ou les vernis (à l'excl. des dissolvants pour vernis à ongles)")</f>
        <v>Solvants et diluants organiques composites, n.d.a.; préparations conçues pour enlever les peintures ou les vernis (à l'excl. des dissolvants pour vernis à ongles)</v>
      </c>
    </row>
    <row r="433" spans="1:4" x14ac:dyDescent="0.25">
      <c r="A433" t="str">
        <f>T("   ZZZ_Monde")</f>
        <v xml:space="preserve">   ZZZ_Monde</v>
      </c>
      <c r="B433" t="str">
        <f>T("   ZZZ_Monde")</f>
        <v xml:space="preserve">   ZZZ_Monde</v>
      </c>
      <c r="C433">
        <v>30000</v>
      </c>
      <c r="D433">
        <v>60</v>
      </c>
    </row>
    <row r="434" spans="1:4" x14ac:dyDescent="0.25">
      <c r="A434" t="str">
        <f>T("   TG")</f>
        <v xml:space="preserve">   TG</v>
      </c>
      <c r="B434" t="str">
        <f>T("   Togo")</f>
        <v xml:space="preserve">   Togo</v>
      </c>
      <c r="C434">
        <v>30000</v>
      </c>
      <c r="D434">
        <v>60</v>
      </c>
    </row>
    <row r="435" spans="1:4" x14ac:dyDescent="0.25">
      <c r="A435" t="str">
        <f>T("382490")</f>
        <v>382490</v>
      </c>
      <c r="B435" t="str">
        <f>T("Produits chimiques et préparations des industries chimiques ou des industries connexes, y.c. celles consistant en mélanges de produits naturels, n.d.a.")</f>
        <v>Produits chimiques et préparations des industries chimiques ou des industries connexes, y.c. celles consistant en mélanges de produits naturels, n.d.a.</v>
      </c>
    </row>
    <row r="436" spans="1:4" x14ac:dyDescent="0.25">
      <c r="A436" t="str">
        <f>T("   ZZZ_Monde")</f>
        <v xml:space="preserve">   ZZZ_Monde</v>
      </c>
      <c r="B436" t="str">
        <f>T("   ZZZ_Monde")</f>
        <v xml:space="preserve">   ZZZ_Monde</v>
      </c>
      <c r="C436">
        <v>712794</v>
      </c>
      <c r="D436">
        <v>2237</v>
      </c>
    </row>
    <row r="437" spans="1:4" x14ac:dyDescent="0.25">
      <c r="A437" t="str">
        <f>T("   CI")</f>
        <v xml:space="preserve">   CI</v>
      </c>
      <c r="B437" t="str">
        <f>T("   Côte d'Ivoire")</f>
        <v xml:space="preserve">   Côte d'Ivoire</v>
      </c>
      <c r="C437">
        <v>712794</v>
      </c>
      <c r="D437">
        <v>2237</v>
      </c>
    </row>
    <row r="438" spans="1:4" x14ac:dyDescent="0.25">
      <c r="A438" t="str">
        <f>T("391590")</f>
        <v>391590</v>
      </c>
      <c r="B438" t="str">
        <f>T("Déchets, rognures et débris de matières plastiques (à l'excl. des déchets, rognures et débris de polymères de l'éthylène, du styrène ou du chlorure de vinyle)")</f>
        <v>Déchets, rognures et débris de matières plastiques (à l'excl. des déchets, rognures et débris de polymères de l'éthylène, du styrène ou du chlorure de vinyle)</v>
      </c>
    </row>
    <row r="439" spans="1:4" x14ac:dyDescent="0.25">
      <c r="A439" t="str">
        <f>T("   ZZZ_Monde")</f>
        <v xml:space="preserve">   ZZZ_Monde</v>
      </c>
      <c r="B439" t="str">
        <f>T("   ZZZ_Monde")</f>
        <v xml:space="preserve">   ZZZ_Monde</v>
      </c>
      <c r="C439">
        <v>14229375</v>
      </c>
      <c r="D439">
        <v>569175</v>
      </c>
    </row>
    <row r="440" spans="1:4" x14ac:dyDescent="0.25">
      <c r="A440" t="str">
        <f>T("   GH")</f>
        <v xml:space="preserve">   GH</v>
      </c>
      <c r="B440" t="str">
        <f>T("   Ghana")</f>
        <v xml:space="preserve">   Ghana</v>
      </c>
      <c r="C440">
        <v>687500</v>
      </c>
      <c r="D440">
        <v>27500</v>
      </c>
    </row>
    <row r="441" spans="1:4" x14ac:dyDescent="0.25">
      <c r="A441" t="str">
        <f>T("   TG")</f>
        <v xml:space="preserve">   TG</v>
      </c>
      <c r="B441" t="str">
        <f>T("   Togo")</f>
        <v xml:space="preserve">   Togo</v>
      </c>
      <c r="C441">
        <v>13541875</v>
      </c>
      <c r="D441">
        <v>541675</v>
      </c>
    </row>
    <row r="442" spans="1:4" x14ac:dyDescent="0.25">
      <c r="A442" t="str">
        <f>T("391721")</f>
        <v>391721</v>
      </c>
      <c r="B442" t="str">
        <f>T("TUBES ET TUYAUX RIGIDES, EN POLYMÈRES DE L'ÉTHYLÈNE")</f>
        <v>TUBES ET TUYAUX RIGIDES, EN POLYMÈRES DE L'ÉTHYLÈNE</v>
      </c>
    </row>
    <row r="443" spans="1:4" x14ac:dyDescent="0.25">
      <c r="A443" t="str">
        <f>T("   ZZZ_Monde")</f>
        <v xml:space="preserve">   ZZZ_Monde</v>
      </c>
      <c r="B443" t="str">
        <f>T("   ZZZ_Monde")</f>
        <v xml:space="preserve">   ZZZ_Monde</v>
      </c>
      <c r="C443">
        <v>599663830</v>
      </c>
      <c r="D443">
        <v>787949</v>
      </c>
    </row>
    <row r="444" spans="1:4" x14ac:dyDescent="0.25">
      <c r="A444" t="str">
        <f>T("   BF")</f>
        <v xml:space="preserve">   BF</v>
      </c>
      <c r="B444" t="str">
        <f>T("   Burkina Faso")</f>
        <v xml:space="preserve">   Burkina Faso</v>
      </c>
      <c r="C444">
        <v>39980600</v>
      </c>
      <c r="D444">
        <v>18748</v>
      </c>
    </row>
    <row r="445" spans="1:4" x14ac:dyDescent="0.25">
      <c r="A445" t="str">
        <f>T("   NE")</f>
        <v xml:space="preserve">   NE</v>
      </c>
      <c r="B445" t="str">
        <f>T("   Niger")</f>
        <v xml:space="preserve">   Niger</v>
      </c>
      <c r="C445">
        <v>7014000</v>
      </c>
      <c r="D445">
        <v>12525</v>
      </c>
    </row>
    <row r="446" spans="1:4" x14ac:dyDescent="0.25">
      <c r="A446" t="str">
        <f>T("   NG")</f>
        <v xml:space="preserve">   NG</v>
      </c>
      <c r="B446" t="str">
        <f>T("   Nigéria")</f>
        <v xml:space="preserve">   Nigéria</v>
      </c>
      <c r="C446">
        <v>308308000</v>
      </c>
      <c r="D446">
        <v>508082</v>
      </c>
    </row>
    <row r="447" spans="1:4" x14ac:dyDescent="0.25">
      <c r="A447" t="str">
        <f>T("   TD")</f>
        <v xml:space="preserve">   TD</v>
      </c>
      <c r="B447" t="str">
        <f>T("   Tchad")</f>
        <v xml:space="preserve">   Tchad</v>
      </c>
      <c r="C447">
        <v>96218000</v>
      </c>
      <c r="D447">
        <v>74375</v>
      </c>
    </row>
    <row r="448" spans="1:4" x14ac:dyDescent="0.25">
      <c r="A448" t="str">
        <f>T("   TG")</f>
        <v xml:space="preserve">   TG</v>
      </c>
      <c r="B448" t="str">
        <f>T("   Togo")</f>
        <v xml:space="preserve">   Togo</v>
      </c>
      <c r="C448">
        <v>148143230</v>
      </c>
      <c r="D448">
        <v>174219</v>
      </c>
    </row>
    <row r="449" spans="1:4" x14ac:dyDescent="0.25">
      <c r="A449" t="str">
        <f>T("391729")</f>
        <v>391729</v>
      </c>
      <c r="B449" t="str">
        <f>T("TUBES ET TUYAUX RIGIDES, EN MATIÈRES PLASTIQUES (À L'EXCL. DES TUBES ET TUYAUX EN POLYMÈRES DE L'ÉTHYLÈNE, DU PROPYLÈNE OU DU CHLORURE DE VINYLE)")</f>
        <v>TUBES ET TUYAUX RIGIDES, EN MATIÈRES PLASTIQUES (À L'EXCL. DES TUBES ET TUYAUX EN POLYMÈRES DE L'ÉTHYLÈNE, DU PROPYLÈNE OU DU CHLORURE DE VINYLE)</v>
      </c>
    </row>
    <row r="450" spans="1:4" x14ac:dyDescent="0.25">
      <c r="A450" t="str">
        <f>T("   ZZZ_Monde")</f>
        <v xml:space="preserve">   ZZZ_Monde</v>
      </c>
      <c r="B450" t="str">
        <f>T("   ZZZ_Monde")</f>
        <v xml:space="preserve">   ZZZ_Monde</v>
      </c>
      <c r="C450">
        <v>12474600</v>
      </c>
      <c r="D450">
        <v>950</v>
      </c>
    </row>
    <row r="451" spans="1:4" x14ac:dyDescent="0.25">
      <c r="A451" t="str">
        <f>T("   GQ")</f>
        <v xml:space="preserve">   GQ</v>
      </c>
      <c r="B451" t="str">
        <f>T("   Guinée Equatoriale")</f>
        <v xml:space="preserve">   Guinée Equatoriale</v>
      </c>
      <c r="C451">
        <v>12474600</v>
      </c>
      <c r="D451">
        <v>950</v>
      </c>
    </row>
    <row r="452" spans="1:4" x14ac:dyDescent="0.25">
      <c r="A452" t="str">
        <f>T("391739")</f>
        <v>391739</v>
      </c>
      <c r="B452" t="str">
        <f>T("TUBES ET TUYAUX SOUPLES, EN MATIÈRES PLASTIQUES, RENFORCÉS D'AUTRES MATIÈRES OU ASSOCIÉS À D'AUTRES MATIÈRES (À L'EXCL. DES PRODUITS POUVANT SUPPORTER UNE PRESSION &gt;= 27,6 MPA)")</f>
        <v>TUBES ET TUYAUX SOUPLES, EN MATIÈRES PLASTIQUES, RENFORCÉS D'AUTRES MATIÈRES OU ASSOCIÉS À D'AUTRES MATIÈRES (À L'EXCL. DES PRODUITS POUVANT SUPPORTER UNE PRESSION &gt;= 27,6 MPA)</v>
      </c>
    </row>
    <row r="453" spans="1:4" x14ac:dyDescent="0.25">
      <c r="A453" t="str">
        <f>T("   ZZZ_Monde")</f>
        <v xml:space="preserve">   ZZZ_Monde</v>
      </c>
      <c r="B453" t="str">
        <f>T("   ZZZ_Monde")</f>
        <v xml:space="preserve">   ZZZ_Monde</v>
      </c>
      <c r="C453">
        <v>33426200</v>
      </c>
      <c r="D453">
        <v>26938</v>
      </c>
    </row>
    <row r="454" spans="1:4" x14ac:dyDescent="0.25">
      <c r="A454" t="str">
        <f>T("   TG")</f>
        <v xml:space="preserve">   TG</v>
      </c>
      <c r="B454" t="str">
        <f>T("   Togo")</f>
        <v xml:space="preserve">   Togo</v>
      </c>
      <c r="C454">
        <v>33426200</v>
      </c>
      <c r="D454">
        <v>26938</v>
      </c>
    </row>
    <row r="455" spans="1:4" x14ac:dyDescent="0.25">
      <c r="A455" t="str">
        <f>T("391740")</f>
        <v>391740</v>
      </c>
      <c r="B455" t="str">
        <f>T("Accessoires pour tubes ou tuyaux [joints, coudes, raccords, par exemple], en matières plastiques")</f>
        <v>Accessoires pour tubes ou tuyaux [joints, coudes, raccords, par exemple], en matières plastiques</v>
      </c>
    </row>
    <row r="456" spans="1:4" x14ac:dyDescent="0.25">
      <c r="A456" t="str">
        <f>T("   ZZZ_Monde")</f>
        <v xml:space="preserve">   ZZZ_Monde</v>
      </c>
      <c r="B456" t="str">
        <f>T("   ZZZ_Monde")</f>
        <v xml:space="preserve">   ZZZ_Monde</v>
      </c>
      <c r="C456">
        <v>3414250</v>
      </c>
      <c r="D456">
        <v>4720</v>
      </c>
    </row>
    <row r="457" spans="1:4" x14ac:dyDescent="0.25">
      <c r="A457" t="str">
        <f>T("   TG")</f>
        <v xml:space="preserve">   TG</v>
      </c>
      <c r="B457" t="str">
        <f>T("   Togo")</f>
        <v xml:space="preserve">   Togo</v>
      </c>
      <c r="C457">
        <v>3414250</v>
      </c>
      <c r="D457">
        <v>4720</v>
      </c>
    </row>
    <row r="458" spans="1:4" x14ac:dyDescent="0.25">
      <c r="A458" t="str">
        <f>T("392310")</f>
        <v>392310</v>
      </c>
      <c r="B458" t="str">
        <f>T("Boîtes, caisses, casiers et articles simil. pour le transport ou l'emballage, en matières plastiques")</f>
        <v>Boîtes, caisses, casiers et articles simil. pour le transport ou l'emballage, en matières plastiques</v>
      </c>
    </row>
    <row r="459" spans="1:4" x14ac:dyDescent="0.25">
      <c r="A459" t="str">
        <f>T("   ZZZ_Monde")</f>
        <v xml:space="preserve">   ZZZ_Monde</v>
      </c>
      <c r="B459" t="str">
        <f>T("   ZZZ_Monde")</f>
        <v xml:space="preserve">   ZZZ_Monde</v>
      </c>
      <c r="C459">
        <v>6539994</v>
      </c>
      <c r="D459">
        <v>6750</v>
      </c>
    </row>
    <row r="460" spans="1:4" x14ac:dyDescent="0.25">
      <c r="A460" t="str">
        <f>T("   FR")</f>
        <v xml:space="preserve">   FR</v>
      </c>
      <c r="B460" t="str">
        <f>T("   France")</f>
        <v xml:space="preserve">   France</v>
      </c>
      <c r="C460">
        <v>1790000</v>
      </c>
      <c r="D460">
        <v>2250</v>
      </c>
    </row>
    <row r="461" spans="1:4" x14ac:dyDescent="0.25">
      <c r="A461" t="str">
        <f>T("   GH")</f>
        <v xml:space="preserve">   GH</v>
      </c>
      <c r="B461" t="str">
        <f>T("   Ghana")</f>
        <v xml:space="preserve">   Ghana</v>
      </c>
      <c r="C461">
        <v>1992200</v>
      </c>
      <c r="D461">
        <v>2135</v>
      </c>
    </row>
    <row r="462" spans="1:4" x14ac:dyDescent="0.25">
      <c r="A462" t="str">
        <f>T("   TG")</f>
        <v xml:space="preserve">   TG</v>
      </c>
      <c r="B462" t="str">
        <f>T("   Togo")</f>
        <v xml:space="preserve">   Togo</v>
      </c>
      <c r="C462">
        <v>2757794</v>
      </c>
      <c r="D462">
        <v>2365</v>
      </c>
    </row>
    <row r="463" spans="1:4" x14ac:dyDescent="0.25">
      <c r="A463" t="str">
        <f>T("392321")</f>
        <v>392321</v>
      </c>
      <c r="B463" t="str">
        <f>T("Sacs, sachets, pochettes et cornets, en polymères de l'éthylène")</f>
        <v>Sacs, sachets, pochettes et cornets, en polymères de l'éthylène</v>
      </c>
    </row>
    <row r="464" spans="1:4" x14ac:dyDescent="0.25">
      <c r="A464" t="str">
        <f>T("   ZZZ_Monde")</f>
        <v xml:space="preserve">   ZZZ_Monde</v>
      </c>
      <c r="B464" t="str">
        <f>T("   ZZZ_Monde")</f>
        <v xml:space="preserve">   ZZZ_Monde</v>
      </c>
      <c r="C464">
        <v>111062421</v>
      </c>
      <c r="D464">
        <v>87063</v>
      </c>
    </row>
    <row r="465" spans="1:4" x14ac:dyDescent="0.25">
      <c r="A465" t="str">
        <f>T("   BD")</f>
        <v xml:space="preserve">   BD</v>
      </c>
      <c r="B465" t="str">
        <f>T("   Bangladesh")</f>
        <v xml:space="preserve">   Bangladesh</v>
      </c>
      <c r="C465">
        <v>2060539</v>
      </c>
      <c r="D465">
        <v>1773</v>
      </c>
    </row>
    <row r="466" spans="1:4" x14ac:dyDescent="0.25">
      <c r="A466" t="str">
        <f>T("   CN")</f>
        <v xml:space="preserve">   CN</v>
      </c>
      <c r="B466" t="str">
        <f>T("   Chine")</f>
        <v xml:space="preserve">   Chine</v>
      </c>
      <c r="C466">
        <v>66417644</v>
      </c>
      <c r="D466">
        <v>52616</v>
      </c>
    </row>
    <row r="467" spans="1:4" x14ac:dyDescent="0.25">
      <c r="A467" t="str">
        <f>T("   DE")</f>
        <v xml:space="preserve">   DE</v>
      </c>
      <c r="B467" t="str">
        <f>T("   Allemagne")</f>
        <v xml:space="preserve">   Allemagne</v>
      </c>
      <c r="C467">
        <v>126466</v>
      </c>
      <c r="D467">
        <v>85</v>
      </c>
    </row>
    <row r="468" spans="1:4" x14ac:dyDescent="0.25">
      <c r="A468" t="str">
        <f>T("   ID")</f>
        <v xml:space="preserve">   ID</v>
      </c>
      <c r="B468" t="str">
        <f>T("   Indonésie")</f>
        <v xml:space="preserve">   Indonésie</v>
      </c>
      <c r="C468">
        <v>11526252</v>
      </c>
      <c r="D468">
        <v>8989</v>
      </c>
    </row>
    <row r="469" spans="1:4" x14ac:dyDescent="0.25">
      <c r="A469" t="str">
        <f>T("   IT")</f>
        <v xml:space="preserve">   IT</v>
      </c>
      <c r="B469" t="str">
        <f>T("   Italie")</f>
        <v xml:space="preserve">   Italie</v>
      </c>
      <c r="C469">
        <v>1337809</v>
      </c>
      <c r="D469">
        <v>899</v>
      </c>
    </row>
    <row r="470" spans="1:4" x14ac:dyDescent="0.25">
      <c r="A470" t="str">
        <f>T("   MA")</f>
        <v xml:space="preserve">   MA</v>
      </c>
      <c r="B470" t="str">
        <f>T("   Maroc")</f>
        <v xml:space="preserve">   Maroc</v>
      </c>
      <c r="C470">
        <v>2188732</v>
      </c>
      <c r="D470">
        <v>1551</v>
      </c>
    </row>
    <row r="471" spans="1:4" x14ac:dyDescent="0.25">
      <c r="A471" t="str">
        <f>T("   MY")</f>
        <v xml:space="preserve">   MY</v>
      </c>
      <c r="B471" t="str">
        <f>T("   Malaisie")</f>
        <v xml:space="preserve">   Malaisie</v>
      </c>
      <c r="C471">
        <v>4196475</v>
      </c>
      <c r="D471">
        <v>3611</v>
      </c>
    </row>
    <row r="472" spans="1:4" x14ac:dyDescent="0.25">
      <c r="A472" t="str">
        <f>T("   PK")</f>
        <v xml:space="preserve">   PK</v>
      </c>
      <c r="B472" t="str">
        <f>T("   Pakistan")</f>
        <v xml:space="preserve">   Pakistan</v>
      </c>
      <c r="C472">
        <v>1486052</v>
      </c>
      <c r="D472">
        <v>1076</v>
      </c>
    </row>
    <row r="473" spans="1:4" x14ac:dyDescent="0.25">
      <c r="A473" t="str">
        <f>T("   PT")</f>
        <v xml:space="preserve">   PT</v>
      </c>
      <c r="B473" t="str">
        <f>T("   Portugal")</f>
        <v xml:space="preserve">   Portugal</v>
      </c>
      <c r="C473">
        <v>2958090</v>
      </c>
      <c r="D473">
        <v>2143</v>
      </c>
    </row>
    <row r="474" spans="1:4" x14ac:dyDescent="0.25">
      <c r="A474" t="str">
        <f>T("   TH")</f>
        <v xml:space="preserve">   TH</v>
      </c>
      <c r="B474" t="str">
        <f>T("   Thaïlande")</f>
        <v xml:space="preserve">   Thaïlande</v>
      </c>
      <c r="C474">
        <v>3985030</v>
      </c>
      <c r="D474">
        <v>3078</v>
      </c>
    </row>
    <row r="475" spans="1:4" x14ac:dyDescent="0.25">
      <c r="A475" t="str">
        <f>T("   TR")</f>
        <v xml:space="preserve">   TR</v>
      </c>
      <c r="B475" t="str">
        <f>T("   Turquie")</f>
        <v xml:space="preserve">   Turquie</v>
      </c>
      <c r="C475">
        <v>2163555</v>
      </c>
      <c r="D475">
        <v>1454</v>
      </c>
    </row>
    <row r="476" spans="1:4" x14ac:dyDescent="0.25">
      <c r="A476" t="str">
        <f>T("   TW")</f>
        <v xml:space="preserve">   TW</v>
      </c>
      <c r="B476" t="str">
        <f>T("   Taïwan, Province de Chine")</f>
        <v xml:space="preserve">   Taïwan, Province de Chine</v>
      </c>
      <c r="C476">
        <v>1041266</v>
      </c>
      <c r="D476">
        <v>855</v>
      </c>
    </row>
    <row r="477" spans="1:4" x14ac:dyDescent="0.25">
      <c r="A477" t="str">
        <f>T("   VN")</f>
        <v xml:space="preserve">   VN</v>
      </c>
      <c r="B477" t="str">
        <f>T("   Vietnam")</f>
        <v xml:space="preserve">   Vietnam</v>
      </c>
      <c r="C477">
        <v>11574511</v>
      </c>
      <c r="D477">
        <v>8933</v>
      </c>
    </row>
    <row r="478" spans="1:4" x14ac:dyDescent="0.25">
      <c r="A478" t="str">
        <f>T("392329")</f>
        <v>392329</v>
      </c>
      <c r="B478" t="str">
        <f>T("Sacs, sachets, pochettes et cornets, en matières plastiques (autres que les polymères de l'éthylène)")</f>
        <v>Sacs, sachets, pochettes et cornets, en matières plastiques (autres que les polymères de l'éthylène)</v>
      </c>
    </row>
    <row r="479" spans="1:4" x14ac:dyDescent="0.25">
      <c r="A479" t="str">
        <f>T("   ZZZ_Monde")</f>
        <v xml:space="preserve">   ZZZ_Monde</v>
      </c>
      <c r="B479" t="str">
        <f>T("   ZZZ_Monde")</f>
        <v xml:space="preserve">   ZZZ_Monde</v>
      </c>
      <c r="C479">
        <v>2743365</v>
      </c>
      <c r="D479">
        <v>1219</v>
      </c>
    </row>
    <row r="480" spans="1:4" x14ac:dyDescent="0.25">
      <c r="A480" t="str">
        <f>T("   FR")</f>
        <v xml:space="preserve">   FR</v>
      </c>
      <c r="B480" t="str">
        <f>T("   France")</f>
        <v xml:space="preserve">   France</v>
      </c>
      <c r="C480">
        <v>2743365</v>
      </c>
      <c r="D480">
        <v>1219</v>
      </c>
    </row>
    <row r="481" spans="1:4" x14ac:dyDescent="0.25">
      <c r="A481" t="str">
        <f>T("392410")</f>
        <v>392410</v>
      </c>
      <c r="B481" t="str">
        <f>T("Vaisselle et autres articles pour le service de la table ou de la cuisine, en matières plastiques")</f>
        <v>Vaisselle et autres articles pour le service de la table ou de la cuisine, en matières plastiques</v>
      </c>
    </row>
    <row r="482" spans="1:4" x14ac:dyDescent="0.25">
      <c r="A482" t="str">
        <f>T("   ZZZ_Monde")</f>
        <v xml:space="preserve">   ZZZ_Monde</v>
      </c>
      <c r="B482" t="str">
        <f>T("   ZZZ_Monde")</f>
        <v xml:space="preserve">   ZZZ_Monde</v>
      </c>
      <c r="C482">
        <v>155309</v>
      </c>
      <c r="D482">
        <v>680</v>
      </c>
    </row>
    <row r="483" spans="1:4" x14ac:dyDescent="0.25">
      <c r="A483" t="str">
        <f>T("   GN")</f>
        <v xml:space="preserve">   GN</v>
      </c>
      <c r="B483" t="str">
        <f>T("   Guinée")</f>
        <v xml:space="preserve">   Guinée</v>
      </c>
      <c r="C483">
        <v>155309</v>
      </c>
      <c r="D483">
        <v>680</v>
      </c>
    </row>
    <row r="484" spans="1:4" x14ac:dyDescent="0.25">
      <c r="A484" t="str">
        <f>T("392490")</f>
        <v>392490</v>
      </c>
      <c r="B484" t="str">
        <f>T("Articles de ménage ou d'économie domestique et articles d'hygiène ou de toilette, en matières plastiques (à l'excl. de la vaisselle et des articles pour usages sanitaires ou hygiéniques tels que baignoires, douches, lavabos, bidets, réservoirs de chasse,")</f>
        <v>Articles de ménage ou d'économie domestique et articles d'hygiène ou de toilette, en matières plastiques (à l'excl. de la vaisselle et des articles pour usages sanitaires ou hygiéniques tels que baignoires, douches, lavabos, bidets, réservoirs de chasse,</v>
      </c>
    </row>
    <row r="485" spans="1:4" x14ac:dyDescent="0.25">
      <c r="A485" t="str">
        <f>T("   ZZZ_Monde")</f>
        <v xml:space="preserve">   ZZZ_Monde</v>
      </c>
      <c r="B485" t="str">
        <f>T("   ZZZ_Monde")</f>
        <v xml:space="preserve">   ZZZ_Monde</v>
      </c>
      <c r="C485">
        <v>2415000</v>
      </c>
      <c r="D485">
        <v>20400</v>
      </c>
    </row>
    <row r="486" spans="1:4" x14ac:dyDescent="0.25">
      <c r="A486" t="str">
        <f>T("   GA")</f>
        <v xml:space="preserve">   GA</v>
      </c>
      <c r="B486" t="str">
        <f>T("   Gabon")</f>
        <v xml:space="preserve">   Gabon</v>
      </c>
      <c r="C486">
        <v>2415000</v>
      </c>
      <c r="D486">
        <v>20400</v>
      </c>
    </row>
    <row r="487" spans="1:4" x14ac:dyDescent="0.25">
      <c r="A487" t="str">
        <f>T("392510")</f>
        <v>392510</v>
      </c>
      <c r="B487" t="str">
        <f>T("Réservoirs, foudres, cuves et récipients analogues, en matières plastiques, d'une contenance &gt; 300 l")</f>
        <v>Réservoirs, foudres, cuves et récipients analogues, en matières plastiques, d'une contenance &gt; 300 l</v>
      </c>
    </row>
    <row r="488" spans="1:4" x14ac:dyDescent="0.25">
      <c r="A488" t="str">
        <f>T("   ZZZ_Monde")</f>
        <v xml:space="preserve">   ZZZ_Monde</v>
      </c>
      <c r="B488" t="str">
        <f>T("   ZZZ_Monde")</f>
        <v xml:space="preserve">   ZZZ_Monde</v>
      </c>
      <c r="C488">
        <v>80000</v>
      </c>
      <c r="D488">
        <v>50</v>
      </c>
    </row>
    <row r="489" spans="1:4" x14ac:dyDescent="0.25">
      <c r="A489" t="str">
        <f>T("   CG")</f>
        <v xml:space="preserve">   CG</v>
      </c>
      <c r="B489" t="str">
        <f>T("   Congo (Brazzaville)")</f>
        <v xml:space="preserve">   Congo (Brazzaville)</v>
      </c>
      <c r="C489">
        <v>80000</v>
      </c>
      <c r="D489">
        <v>50</v>
      </c>
    </row>
    <row r="490" spans="1:4" x14ac:dyDescent="0.25">
      <c r="A490" t="str">
        <f>T("401120")</f>
        <v>401120</v>
      </c>
      <c r="B490" t="str">
        <f>T("Pneumatiques neufs, en caoutchouc, des types utilisés pour les autobus ou les camions (à l'excl. des pneumatiques à crampons, à chevrons ou simil.)")</f>
        <v>Pneumatiques neufs, en caoutchouc, des types utilisés pour les autobus ou les camions (à l'excl. des pneumatiques à crampons, à chevrons ou simil.)</v>
      </c>
    </row>
    <row r="491" spans="1:4" x14ac:dyDescent="0.25">
      <c r="A491" t="str">
        <f>T("   ZZZ_Monde")</f>
        <v xml:space="preserve">   ZZZ_Monde</v>
      </c>
      <c r="B491" t="str">
        <f>T("   ZZZ_Monde")</f>
        <v xml:space="preserve">   ZZZ_Monde</v>
      </c>
      <c r="C491">
        <v>5244032</v>
      </c>
      <c r="D491">
        <v>4868</v>
      </c>
    </row>
    <row r="492" spans="1:4" x14ac:dyDescent="0.25">
      <c r="A492" t="str">
        <f>T("   TG")</f>
        <v xml:space="preserve">   TG</v>
      </c>
      <c r="B492" t="str">
        <f>T("   Togo")</f>
        <v xml:space="preserve">   Togo</v>
      </c>
      <c r="C492">
        <v>5244032</v>
      </c>
      <c r="D492">
        <v>4868</v>
      </c>
    </row>
    <row r="493" spans="1:4" x14ac:dyDescent="0.25">
      <c r="A493" t="str">
        <f>T("401199")</f>
        <v>401199</v>
      </c>
      <c r="B493" t="str">
        <f>T("Pneumatiques neufs, en caoutchouc (à l'excl. des pneumatiques à crampons, à chevrons ou simil. ainsi que des pneumatiques des types utilisés pour les véhicules et engins agricoles et forestiers, de génie civil et de manutention industrielle, pour les voit")</f>
        <v>Pneumatiques neufs, en caoutchouc (à l'excl. des pneumatiques à crampons, à chevrons ou simil. ainsi que des pneumatiques des types utilisés pour les véhicules et engins agricoles et forestiers, de génie civil et de manutention industrielle, pour les voit</v>
      </c>
    </row>
    <row r="494" spans="1:4" x14ac:dyDescent="0.25">
      <c r="A494" t="str">
        <f>T("   ZZZ_Monde")</f>
        <v xml:space="preserve">   ZZZ_Monde</v>
      </c>
      <c r="B494" t="str">
        <f>T("   ZZZ_Monde")</f>
        <v xml:space="preserve">   ZZZ_Monde</v>
      </c>
      <c r="C494">
        <v>7381200</v>
      </c>
      <c r="D494">
        <v>1672</v>
      </c>
    </row>
    <row r="495" spans="1:4" x14ac:dyDescent="0.25">
      <c r="A495" t="str">
        <f>T("   TG")</f>
        <v xml:space="preserve">   TG</v>
      </c>
      <c r="B495" t="str">
        <f>T("   Togo")</f>
        <v xml:space="preserve">   Togo</v>
      </c>
      <c r="C495">
        <v>7381200</v>
      </c>
      <c r="D495">
        <v>1672</v>
      </c>
    </row>
    <row r="496" spans="1:4" x14ac:dyDescent="0.25">
      <c r="A496" t="str">
        <f>T("401220")</f>
        <v>401220</v>
      </c>
      <c r="B496" t="str">
        <f>T("Pneumatiques usagés, en caoutchouc")</f>
        <v>Pneumatiques usagés, en caoutchouc</v>
      </c>
    </row>
    <row r="497" spans="1:4" x14ac:dyDescent="0.25">
      <c r="A497" t="str">
        <f>T("   ZZZ_Monde")</f>
        <v xml:space="preserve">   ZZZ_Monde</v>
      </c>
      <c r="B497" t="str">
        <f>T("   ZZZ_Monde")</f>
        <v xml:space="preserve">   ZZZ_Monde</v>
      </c>
      <c r="C497">
        <v>12500000</v>
      </c>
      <c r="D497">
        <v>26500</v>
      </c>
    </row>
    <row r="498" spans="1:4" x14ac:dyDescent="0.25">
      <c r="A498" t="str">
        <f>T("   CG")</f>
        <v xml:space="preserve">   CG</v>
      </c>
      <c r="B498" t="str">
        <f>T("   Congo (Brazzaville)")</f>
        <v xml:space="preserve">   Congo (Brazzaville)</v>
      </c>
      <c r="C498">
        <v>7000000</v>
      </c>
      <c r="D498">
        <v>23000</v>
      </c>
    </row>
    <row r="499" spans="1:4" x14ac:dyDescent="0.25">
      <c r="A499" t="str">
        <f>T("   TG")</f>
        <v xml:space="preserve">   TG</v>
      </c>
      <c r="B499" t="str">
        <f>T("   Togo")</f>
        <v xml:space="preserve">   Togo</v>
      </c>
      <c r="C499">
        <v>5500000</v>
      </c>
      <c r="D499">
        <v>3500</v>
      </c>
    </row>
    <row r="500" spans="1:4" x14ac:dyDescent="0.25">
      <c r="A500" t="str">
        <f>T("420229")</f>
        <v>420229</v>
      </c>
      <c r="B500" t="str">
        <f>T("Sacs à main, même à bandoulière, y.c. ceux sans poignée, à surface extérieure en fibre vulcanisée ou en carton, ou recouverts, en totalité ou en majeure partie, de ces mêmes matières ou de papier")</f>
        <v>Sacs à main, même à bandoulière, y.c. ceux sans poignée, à surface extérieure en fibre vulcanisée ou en carton, ou recouverts, en totalité ou en majeure partie, de ces mêmes matières ou de papier</v>
      </c>
    </row>
    <row r="501" spans="1:4" x14ac:dyDescent="0.25">
      <c r="A501" t="str">
        <f>T("   ZZZ_Monde")</f>
        <v xml:space="preserve">   ZZZ_Monde</v>
      </c>
      <c r="B501" t="str">
        <f>T("   ZZZ_Monde")</f>
        <v xml:space="preserve">   ZZZ_Monde</v>
      </c>
      <c r="C501">
        <v>3125000</v>
      </c>
      <c r="D501">
        <v>832</v>
      </c>
    </row>
    <row r="502" spans="1:4" x14ac:dyDescent="0.25">
      <c r="A502" t="str">
        <f>T("   CI")</f>
        <v xml:space="preserve">   CI</v>
      </c>
      <c r="B502" t="str">
        <f>T("   Côte d'Ivoire")</f>
        <v xml:space="preserve">   Côte d'Ivoire</v>
      </c>
      <c r="C502">
        <v>3125000</v>
      </c>
      <c r="D502">
        <v>832</v>
      </c>
    </row>
    <row r="503" spans="1:4" x14ac:dyDescent="0.25">
      <c r="A503" t="str">
        <f>T("420330")</f>
        <v>420330</v>
      </c>
      <c r="B503" t="str">
        <f>T("Ceintures, ceinturons et baudriers, en cuir naturel ou reconstitué")</f>
        <v>Ceintures, ceinturons et baudriers, en cuir naturel ou reconstitué</v>
      </c>
    </row>
    <row r="504" spans="1:4" x14ac:dyDescent="0.25">
      <c r="A504" t="str">
        <f>T("   ZZZ_Monde")</f>
        <v xml:space="preserve">   ZZZ_Monde</v>
      </c>
      <c r="B504" t="str">
        <f>T("   ZZZ_Monde")</f>
        <v xml:space="preserve">   ZZZ_Monde</v>
      </c>
      <c r="C504">
        <v>12603</v>
      </c>
      <c r="D504">
        <v>840</v>
      </c>
    </row>
    <row r="505" spans="1:4" x14ac:dyDescent="0.25">
      <c r="A505" t="str">
        <f>T("   BE")</f>
        <v xml:space="preserve">   BE</v>
      </c>
      <c r="B505" t="str">
        <f>T("   Belgique")</f>
        <v xml:space="preserve">   Belgique</v>
      </c>
      <c r="C505">
        <v>12603</v>
      </c>
      <c r="D505">
        <v>840</v>
      </c>
    </row>
    <row r="506" spans="1:4" x14ac:dyDescent="0.25">
      <c r="A506" t="str">
        <f>T("440320")</f>
        <v>440320</v>
      </c>
      <c r="B506" t="str">
        <f>T("BOIS BRUTS DE CONIFÈRES, MÊME ÉCORCÉS, DÉSAUBIÉRÉS OU ÉQUARRIS (À L'EXCL. DES BOIS TRAITÉS AVEC UNE PEINTURE, DE LA CRÉOSOTE OU D'AUTRES AGENTS DE CONSERVATION, DES BOIS SIMPL. DÉGROSSIS OU ARRONDIS POUR CANNES, PARAPLUIES, MANCHES D'OUTILS OU SIMIL., DES")</f>
        <v>BOIS BRUTS DE CONIFÈRES, MÊME ÉCORCÉS, DÉSAUBIÉRÉS OU ÉQUARRIS (À L'EXCL. DES BOIS TRAITÉS AVEC UNE PEINTURE, DE LA CRÉOSOTE OU D'AUTRES AGENTS DE CONSERVATION, DES BOIS SIMPL. DÉGROSSIS OU ARRONDIS POUR CANNES, PARAPLUIES, MANCHES D'OUTILS OU SIMIL., DES</v>
      </c>
    </row>
    <row r="507" spans="1:4" x14ac:dyDescent="0.25">
      <c r="A507" t="str">
        <f>T("   ZZZ_Monde")</f>
        <v xml:space="preserve">   ZZZ_Monde</v>
      </c>
      <c r="B507" t="str">
        <f>T("   ZZZ_Monde")</f>
        <v xml:space="preserve">   ZZZ_Monde</v>
      </c>
      <c r="C507">
        <v>227289150</v>
      </c>
      <c r="D507">
        <v>1420000</v>
      </c>
    </row>
    <row r="508" spans="1:4" x14ac:dyDescent="0.25">
      <c r="A508" t="str">
        <f>T("   AE")</f>
        <v xml:space="preserve">   AE</v>
      </c>
      <c r="B508" t="str">
        <f>T("   Emirats Arabes Unis")</f>
        <v xml:space="preserve">   Emirats Arabes Unis</v>
      </c>
      <c r="C508">
        <v>103313250</v>
      </c>
      <c r="D508">
        <v>600000</v>
      </c>
    </row>
    <row r="509" spans="1:4" x14ac:dyDescent="0.25">
      <c r="A509" t="str">
        <f>T("   IN")</f>
        <v xml:space="preserve">   IN</v>
      </c>
      <c r="B509" t="str">
        <f>T("   Inde")</f>
        <v xml:space="preserve">   Inde</v>
      </c>
      <c r="C509">
        <v>123975900</v>
      </c>
      <c r="D509">
        <v>820000</v>
      </c>
    </row>
    <row r="510" spans="1:4" x14ac:dyDescent="0.25">
      <c r="A510" t="str">
        <f>T("440349")</f>
        <v>440349</v>
      </c>
      <c r="B510" t="str">
        <f>T("Bois bruts des bois tropicaux visés à la note 1 de sous-position du présent chapitre, même écorcés, désaubiérés ou équarris (à l'excl. des bois de dark red meranti, light red meranti, meranti bakau, des bois traités avec une peinture, de la créosote ou d'")</f>
        <v>Bois bruts des bois tropicaux visés à la note 1 de sous-position du présent chapitre, même écorcés, désaubiérés ou équarris (à l'excl. des bois de dark red meranti, light red meranti, meranti bakau, des bois traités avec une peinture, de la créosote ou d'</v>
      </c>
    </row>
    <row r="511" spans="1:4" x14ac:dyDescent="0.25">
      <c r="A511" t="str">
        <f>T("   ZZZ_Monde")</f>
        <v xml:space="preserve">   ZZZ_Monde</v>
      </c>
      <c r="B511" t="str">
        <f>T("   ZZZ_Monde")</f>
        <v xml:space="preserve">   ZZZ_Monde</v>
      </c>
      <c r="C511">
        <v>29839041</v>
      </c>
      <c r="D511">
        <v>306780</v>
      </c>
    </row>
    <row r="512" spans="1:4" x14ac:dyDescent="0.25">
      <c r="A512" t="str">
        <f>T("   IN")</f>
        <v xml:space="preserve">   IN</v>
      </c>
      <c r="B512" t="str">
        <f>T("   Inde")</f>
        <v xml:space="preserve">   Inde</v>
      </c>
      <c r="C512">
        <v>29839041</v>
      </c>
      <c r="D512">
        <v>306780</v>
      </c>
    </row>
    <row r="513" spans="1:4" x14ac:dyDescent="0.25">
      <c r="A513" t="str">
        <f>T("440399")</f>
        <v>440399</v>
      </c>
      <c r="B513" t="str">
        <f>T("BOIS BRUTS, MÊME ÉCORCÉS, DÉSAUBIÉRÉS OU ÉQUARRIS (SAUF BOIS DE CONIFÈRES, BOIS DE CHÊNE 'QUERCUS SPP.' OU DE HÊTRE 'FAGUS SPP.', BOIS TROPICAUX VISÉS À LA NOTE 1 DE SOUS-POSITION DU PRÉSENT CHAPITRE, BOIS SIMPL. DÉGROSSIS OU ARRONDIS POUR CANNES, PARAPLU")</f>
        <v>BOIS BRUTS, MÊME ÉCORCÉS, DÉSAUBIÉRÉS OU ÉQUARRIS (SAUF BOIS DE CONIFÈRES, BOIS DE CHÊNE 'QUERCUS SPP.' OU DE HÊTRE 'FAGUS SPP.', BOIS TROPICAUX VISÉS À LA NOTE 1 DE SOUS-POSITION DU PRÉSENT CHAPITRE, BOIS SIMPL. DÉGROSSIS OU ARRONDIS POUR CANNES, PARAPLU</v>
      </c>
    </row>
    <row r="514" spans="1:4" x14ac:dyDescent="0.25">
      <c r="A514" t="str">
        <f>T("   ZZZ_Monde")</f>
        <v xml:space="preserve">   ZZZ_Monde</v>
      </c>
      <c r="B514" t="str">
        <f>T("   ZZZ_Monde")</f>
        <v xml:space="preserve">   ZZZ_Monde</v>
      </c>
      <c r="C514">
        <v>542853844</v>
      </c>
      <c r="D514">
        <v>4128670</v>
      </c>
    </row>
    <row r="515" spans="1:4" x14ac:dyDescent="0.25">
      <c r="A515" t="str">
        <f>T("   AE")</f>
        <v xml:space="preserve">   AE</v>
      </c>
      <c r="B515" t="str">
        <f>T("   Emirats Arabes Unis")</f>
        <v xml:space="preserve">   Emirats Arabes Unis</v>
      </c>
      <c r="C515">
        <v>322337340</v>
      </c>
      <c r="D515">
        <v>2165000</v>
      </c>
    </row>
    <row r="516" spans="1:4" x14ac:dyDescent="0.25">
      <c r="A516" t="str">
        <f>T("   BE")</f>
        <v xml:space="preserve">   BE</v>
      </c>
      <c r="B516" t="str">
        <f>T("   Belgique")</f>
        <v xml:space="preserve">   Belgique</v>
      </c>
      <c r="C516">
        <v>55064</v>
      </c>
      <c r="D516">
        <v>3670</v>
      </c>
    </row>
    <row r="517" spans="1:4" x14ac:dyDescent="0.25">
      <c r="A517" t="str">
        <f>T("   CN")</f>
        <v xml:space="preserve">   CN</v>
      </c>
      <c r="B517" t="str">
        <f>T("   Chine")</f>
        <v xml:space="preserve">   Chine</v>
      </c>
      <c r="C517">
        <v>14232530</v>
      </c>
      <c r="D517">
        <v>185000</v>
      </c>
    </row>
    <row r="518" spans="1:4" x14ac:dyDescent="0.25">
      <c r="A518" t="str">
        <f>T("   IN")</f>
        <v xml:space="preserve">   IN</v>
      </c>
      <c r="B518" t="str">
        <f>T("   Inde")</f>
        <v xml:space="preserve">   Inde</v>
      </c>
      <c r="C518">
        <v>206228910</v>
      </c>
      <c r="D518">
        <v>1775000</v>
      </c>
    </row>
    <row r="519" spans="1:4" x14ac:dyDescent="0.25">
      <c r="A519" t="str">
        <f>T("440500")</f>
        <v>440500</v>
      </c>
      <c r="B519" t="str">
        <f>T("Laine [paille] de bois; farine de bois, c'est-à-dire la poudre de bois passant, avec au maximum 8% en poids de déchets, au tamis ayant une ouverture de mailles de 0,63 mm")</f>
        <v>Laine [paille] de bois; farine de bois, c'est-à-dire la poudre de bois passant, avec au maximum 8% en poids de déchets, au tamis ayant une ouverture de mailles de 0,63 mm</v>
      </c>
    </row>
    <row r="520" spans="1:4" x14ac:dyDescent="0.25">
      <c r="A520" t="str">
        <f>T("   ZZZ_Monde")</f>
        <v xml:space="preserve">   ZZZ_Monde</v>
      </c>
      <c r="B520" t="str">
        <f>T("   ZZZ_Monde")</f>
        <v xml:space="preserve">   ZZZ_Monde</v>
      </c>
      <c r="C520">
        <v>684274680</v>
      </c>
      <c r="D520">
        <v>5840000</v>
      </c>
    </row>
    <row r="521" spans="1:4" x14ac:dyDescent="0.25">
      <c r="A521" t="str">
        <f>T("   AE")</f>
        <v xml:space="preserve">   AE</v>
      </c>
      <c r="B521" t="str">
        <f>T("   Emirats Arabes Unis")</f>
        <v xml:space="preserve">   Emirats Arabes Unis</v>
      </c>
      <c r="C521">
        <v>181831320</v>
      </c>
      <c r="D521">
        <v>780000</v>
      </c>
    </row>
    <row r="522" spans="1:4" x14ac:dyDescent="0.25">
      <c r="A522" t="str">
        <f>T("   CN")</f>
        <v xml:space="preserve">   CN</v>
      </c>
      <c r="B522" t="str">
        <f>T("   Chine")</f>
        <v xml:space="preserve">   Chine</v>
      </c>
      <c r="C522">
        <v>36000000</v>
      </c>
      <c r="D522">
        <v>1560000</v>
      </c>
    </row>
    <row r="523" spans="1:4" x14ac:dyDescent="0.25">
      <c r="A523" t="str">
        <f>T("   IN")</f>
        <v xml:space="preserve">   IN</v>
      </c>
      <c r="B523" t="str">
        <f>T("   Inde")</f>
        <v xml:space="preserve">   Inde</v>
      </c>
      <c r="C523">
        <v>466443360</v>
      </c>
      <c r="D523">
        <v>3500000</v>
      </c>
    </row>
    <row r="524" spans="1:4" x14ac:dyDescent="0.25">
      <c r="A524" t="str">
        <f>T("440710")</f>
        <v>440710</v>
      </c>
      <c r="B524" t="str">
        <f>T("Bois de conifères, sciés ou dédossés longitudinalement, tranchés ou déroulés, même rabotés, poncés ou collés par assemblage en bout, d'une épaisseur &gt; 6 mm")</f>
        <v>Bois de conifères, sciés ou dédossés longitudinalement, tranchés ou déroulés, même rabotés, poncés ou collés par assemblage en bout, d'une épaisseur &gt; 6 mm</v>
      </c>
    </row>
    <row r="525" spans="1:4" x14ac:dyDescent="0.25">
      <c r="A525" t="str">
        <f>T("   ZZZ_Monde")</f>
        <v xml:space="preserve">   ZZZ_Monde</v>
      </c>
      <c r="B525" t="str">
        <f>T("   ZZZ_Monde")</f>
        <v xml:space="preserve">   ZZZ_Monde</v>
      </c>
      <c r="C525">
        <v>1625000</v>
      </c>
      <c r="D525">
        <v>7000</v>
      </c>
    </row>
    <row r="526" spans="1:4" x14ac:dyDescent="0.25">
      <c r="A526" t="str">
        <f>T("   FR")</f>
        <v xml:space="preserve">   FR</v>
      </c>
      <c r="B526" t="str">
        <f>T("   France")</f>
        <v xml:space="preserve">   France</v>
      </c>
      <c r="C526">
        <v>1625000</v>
      </c>
      <c r="D526">
        <v>7000</v>
      </c>
    </row>
    <row r="527" spans="1:4" x14ac:dyDescent="0.25">
      <c r="A527" t="str">
        <f>T("440729")</f>
        <v>440729</v>
      </c>
      <c r="B527" t="str">
        <f>T("Bois tropicaux visés à la note 1 de sous-position du présent chapitre, sciés ou dédossés longitudinalement, tranchés ou déroulés, même rabotés, poncés ou collés par assemblage en bout, d'une épaisseur &gt; 6 mm (sauf virola, mahogany 'Swietenia spp.', imbuia")</f>
        <v>Bois tropicaux visés à la note 1 de sous-position du présent chapitre, sciés ou dédossés longitudinalement, tranchés ou déroulés, même rabotés, poncés ou collés par assemblage en bout, d'une épaisseur &gt; 6 mm (sauf virola, mahogany 'Swietenia spp.', imbuia</v>
      </c>
    </row>
    <row r="528" spans="1:4" x14ac:dyDescent="0.25">
      <c r="A528" t="str">
        <f>T("   ZZZ_Monde")</f>
        <v xml:space="preserve">   ZZZ_Monde</v>
      </c>
      <c r="B528" t="str">
        <f>T("   ZZZ_Monde")</f>
        <v xml:space="preserve">   ZZZ_Monde</v>
      </c>
      <c r="C528">
        <v>444640783</v>
      </c>
      <c r="D528">
        <v>8065282</v>
      </c>
    </row>
    <row r="529" spans="1:4" x14ac:dyDescent="0.25">
      <c r="A529" t="str">
        <f>T("   AE")</f>
        <v xml:space="preserve">   AE</v>
      </c>
      <c r="B529" t="str">
        <f>T("   Emirats Arabes Unis")</f>
        <v xml:space="preserve">   Emirats Arabes Unis</v>
      </c>
      <c r="C529">
        <v>17711910</v>
      </c>
      <c r="D529">
        <v>100000</v>
      </c>
    </row>
    <row r="530" spans="1:4" x14ac:dyDescent="0.25">
      <c r="A530" t="str">
        <f>T("   CH")</f>
        <v xml:space="preserve">   CH</v>
      </c>
      <c r="B530" t="str">
        <f>T("   Suisse")</f>
        <v xml:space="preserve">   Suisse</v>
      </c>
      <c r="C530">
        <v>1500000</v>
      </c>
      <c r="D530">
        <v>100000</v>
      </c>
    </row>
    <row r="531" spans="1:4" x14ac:dyDescent="0.25">
      <c r="A531" t="str">
        <f>T("   CN")</f>
        <v xml:space="preserve">   CN</v>
      </c>
      <c r="B531" t="str">
        <f>T("   Chine")</f>
        <v xml:space="preserve">   Chine</v>
      </c>
      <c r="C531">
        <v>113358000</v>
      </c>
      <c r="D531">
        <v>4484782</v>
      </c>
    </row>
    <row r="532" spans="1:4" x14ac:dyDescent="0.25">
      <c r="A532" t="str">
        <f>T("   IN")</f>
        <v xml:space="preserve">   IN</v>
      </c>
      <c r="B532" t="str">
        <f>T("   Inde")</f>
        <v xml:space="preserve">   Inde</v>
      </c>
      <c r="C532">
        <v>308528491</v>
      </c>
      <c r="D532">
        <v>3360500</v>
      </c>
    </row>
    <row r="533" spans="1:4" x14ac:dyDescent="0.25">
      <c r="A533" t="str">
        <f>T("   IT")</f>
        <v xml:space="preserve">   IT</v>
      </c>
      <c r="B533" t="str">
        <f>T("   Italie")</f>
        <v xml:space="preserve">   Italie</v>
      </c>
      <c r="C533">
        <v>3542382</v>
      </c>
      <c r="D533">
        <v>20000</v>
      </c>
    </row>
    <row r="534" spans="1:4" x14ac:dyDescent="0.25">
      <c r="A534" t="str">
        <f>T("440799")</f>
        <v>440799</v>
      </c>
      <c r="B534" t="str">
        <f>T("Bois sciés ou dédossés longitudinalement, tranchés ou déroulés, d'une épaisseur &gt; 6 mm, même rabotés, poncés ou collés par assemblage en bout (à l'excl. des bois tropicaux visés à la note 1 de sous-position du présent chapitre ainsi que des bois de conifè")</f>
        <v>Bois sciés ou dédossés longitudinalement, tranchés ou déroulés, d'une épaisseur &gt; 6 mm, même rabotés, poncés ou collés par assemblage en bout (à l'excl. des bois tropicaux visés à la note 1 de sous-position du présent chapitre ainsi que des bois de conifè</v>
      </c>
    </row>
    <row r="535" spans="1:4" x14ac:dyDescent="0.25">
      <c r="A535" t="str">
        <f>T("   ZZZ_Monde")</f>
        <v xml:space="preserve">   ZZZ_Monde</v>
      </c>
      <c r="B535" t="str">
        <f>T("   ZZZ_Monde")</f>
        <v xml:space="preserve">   ZZZ_Monde</v>
      </c>
      <c r="C535">
        <v>482927772</v>
      </c>
      <c r="D535">
        <v>8155450</v>
      </c>
    </row>
    <row r="536" spans="1:4" x14ac:dyDescent="0.25">
      <c r="A536" t="str">
        <f>T("   CH")</f>
        <v xml:space="preserve">   CH</v>
      </c>
      <c r="B536" t="str">
        <f>T("   Suisse")</f>
        <v xml:space="preserve">   Suisse</v>
      </c>
      <c r="C536">
        <v>1000000</v>
      </c>
      <c r="D536">
        <v>50000</v>
      </c>
    </row>
    <row r="537" spans="1:4" x14ac:dyDescent="0.25">
      <c r="A537" t="str">
        <f>T("   CN")</f>
        <v xml:space="preserve">   CN</v>
      </c>
      <c r="B537" t="str">
        <f>T("   Chine")</f>
        <v xml:space="preserve">   Chine</v>
      </c>
      <c r="C537">
        <v>87100000</v>
      </c>
      <c r="D537">
        <v>1585000</v>
      </c>
    </row>
    <row r="538" spans="1:4" x14ac:dyDescent="0.25">
      <c r="A538" t="str">
        <f>T("   FR")</f>
        <v xml:space="preserve">   FR</v>
      </c>
      <c r="B538" t="str">
        <f>T("   France")</f>
        <v xml:space="preserve">   France</v>
      </c>
      <c r="C538">
        <v>25792347</v>
      </c>
      <c r="D538">
        <v>12950</v>
      </c>
    </row>
    <row r="539" spans="1:4" x14ac:dyDescent="0.25">
      <c r="A539" t="str">
        <f>T("   IN")</f>
        <v xml:space="preserve">   IN</v>
      </c>
      <c r="B539" t="str">
        <f>T("   Inde")</f>
        <v xml:space="preserve">   Inde</v>
      </c>
      <c r="C539">
        <v>350839817</v>
      </c>
      <c r="D539">
        <v>6485000</v>
      </c>
    </row>
    <row r="540" spans="1:4" x14ac:dyDescent="0.25">
      <c r="A540" t="str">
        <f>T("   IT")</f>
        <v xml:space="preserve">   IT</v>
      </c>
      <c r="B540" t="str">
        <f>T("   Italie")</f>
        <v xml:space="preserve">   Italie</v>
      </c>
      <c r="C540">
        <v>18195608</v>
      </c>
      <c r="D540">
        <v>22500</v>
      </c>
    </row>
    <row r="541" spans="1:4" x14ac:dyDescent="0.25">
      <c r="A541" t="str">
        <f>T("440920")</f>
        <v>440920</v>
      </c>
      <c r="B541" t="s">
        <v>13</v>
      </c>
    </row>
    <row r="542" spans="1:4" x14ac:dyDescent="0.25">
      <c r="A542" t="str">
        <f>T("   ZZZ_Monde")</f>
        <v xml:space="preserve">   ZZZ_Monde</v>
      </c>
      <c r="B542" t="str">
        <f>T("   ZZZ_Monde")</f>
        <v xml:space="preserve">   ZZZ_Monde</v>
      </c>
      <c r="C542">
        <v>32408656</v>
      </c>
      <c r="D542">
        <v>39090</v>
      </c>
    </row>
    <row r="543" spans="1:4" x14ac:dyDescent="0.25">
      <c r="A543" t="str">
        <f>T("   IT")</f>
        <v xml:space="preserve">   IT</v>
      </c>
      <c r="B543" t="str">
        <f>T("   Italie")</f>
        <v xml:space="preserve">   Italie</v>
      </c>
      <c r="C543">
        <v>11597406</v>
      </c>
      <c r="D543">
        <v>13480</v>
      </c>
    </row>
    <row r="544" spans="1:4" x14ac:dyDescent="0.25">
      <c r="A544" t="str">
        <f>T("   NL")</f>
        <v xml:space="preserve">   NL</v>
      </c>
      <c r="B544" t="str">
        <f>T("   Pays-bas")</f>
        <v xml:space="preserve">   Pays-bas</v>
      </c>
      <c r="C544">
        <v>20811250</v>
      </c>
      <c r="D544">
        <v>25610</v>
      </c>
    </row>
    <row r="545" spans="1:4" x14ac:dyDescent="0.25">
      <c r="A545" t="str">
        <f>T("441219")</f>
        <v>441219</v>
      </c>
      <c r="B545" t="str">
        <f>T("Bois contre-plaqués constitués exclusivement de feuilles de bois dont chacune a une épaisseur &lt;= 6 mm (à l'excl. des bois contre-plaqués du n° 4412.13 et 4412.14, des panneaux en bois dits 'densifiés', des panneaux cellulaires en bois, des bois marquetés")</f>
        <v>Bois contre-plaqués constitués exclusivement de feuilles de bois dont chacune a une épaisseur &lt;= 6 mm (à l'excl. des bois contre-plaqués du n° 4412.13 et 4412.14, des panneaux en bois dits 'densifiés', des panneaux cellulaires en bois, des bois marquetés</v>
      </c>
    </row>
    <row r="546" spans="1:4" x14ac:dyDescent="0.25">
      <c r="A546" t="str">
        <f>T("   ZZZ_Monde")</f>
        <v xml:space="preserve">   ZZZ_Monde</v>
      </c>
      <c r="B546" t="str">
        <f>T("   ZZZ_Monde")</f>
        <v xml:space="preserve">   ZZZ_Monde</v>
      </c>
      <c r="C546">
        <v>1731250</v>
      </c>
      <c r="D546">
        <v>15325</v>
      </c>
    </row>
    <row r="547" spans="1:4" x14ac:dyDescent="0.25">
      <c r="A547" t="str">
        <f>T("   BF")</f>
        <v xml:space="preserve">   BF</v>
      </c>
      <c r="B547" t="str">
        <f>T("   Burkina Faso")</f>
        <v xml:space="preserve">   Burkina Faso</v>
      </c>
      <c r="C547">
        <v>1731250</v>
      </c>
      <c r="D547">
        <v>15325</v>
      </c>
    </row>
    <row r="548" spans="1:4" x14ac:dyDescent="0.25">
      <c r="A548" t="str">
        <f>T("441820")</f>
        <v>441820</v>
      </c>
      <c r="B548" t="str">
        <f>T("Portes et leurs cadres, chambranles et seuils, en bois")</f>
        <v>Portes et leurs cadres, chambranles et seuils, en bois</v>
      </c>
    </row>
    <row r="549" spans="1:4" x14ac:dyDescent="0.25">
      <c r="A549" t="str">
        <f>T("   ZZZ_Monde")</f>
        <v xml:space="preserve">   ZZZ_Monde</v>
      </c>
      <c r="B549" t="str">
        <f>T("   ZZZ_Monde")</f>
        <v xml:space="preserve">   ZZZ_Monde</v>
      </c>
      <c r="C549">
        <v>1669950</v>
      </c>
      <c r="D549">
        <v>3200</v>
      </c>
    </row>
    <row r="550" spans="1:4" x14ac:dyDescent="0.25">
      <c r="A550" t="str">
        <f>T("   MA")</f>
        <v xml:space="preserve">   MA</v>
      </c>
      <c r="B550" t="str">
        <f>T("   Maroc")</f>
        <v xml:space="preserve">   Maroc</v>
      </c>
      <c r="C550">
        <v>850000</v>
      </c>
      <c r="D550">
        <v>1800</v>
      </c>
    </row>
    <row r="551" spans="1:4" x14ac:dyDescent="0.25">
      <c r="A551" t="str">
        <f>T("   NL")</f>
        <v xml:space="preserve">   NL</v>
      </c>
      <c r="B551" t="str">
        <f>T("   Pays-bas")</f>
        <v xml:space="preserve">   Pays-bas</v>
      </c>
      <c r="C551">
        <v>819950</v>
      </c>
      <c r="D551">
        <v>1400</v>
      </c>
    </row>
    <row r="552" spans="1:4" x14ac:dyDescent="0.25">
      <c r="A552" t="str">
        <f>T("441900")</f>
        <v>441900</v>
      </c>
      <c r="B552" t="str">
        <f>T("Articles en bois pour la table ou la cuisine (à l'excl. des articles d'ameublement, des objets d'ornement, des ouvrages de tonnellerie, des parties d'articles en bois pour la table ou la cuisine, des balais, des brosses ainsi que des tamis et cribles à ma")</f>
        <v>Articles en bois pour la table ou la cuisine (à l'excl. des articles d'ameublement, des objets d'ornement, des ouvrages de tonnellerie, des parties d'articles en bois pour la table ou la cuisine, des balais, des brosses ainsi que des tamis et cribles à ma</v>
      </c>
    </row>
    <row r="553" spans="1:4" x14ac:dyDescent="0.25">
      <c r="A553" t="str">
        <f>T("   ZZZ_Monde")</f>
        <v xml:space="preserve">   ZZZ_Monde</v>
      </c>
      <c r="B553" t="str">
        <f>T("   ZZZ_Monde")</f>
        <v xml:space="preserve">   ZZZ_Monde</v>
      </c>
      <c r="C553">
        <v>155372</v>
      </c>
      <c r="D553">
        <v>1000</v>
      </c>
    </row>
    <row r="554" spans="1:4" x14ac:dyDescent="0.25">
      <c r="A554" t="str">
        <f>T("   NL")</f>
        <v xml:space="preserve">   NL</v>
      </c>
      <c r="B554" t="str">
        <f>T("   Pays-bas")</f>
        <v xml:space="preserve">   Pays-bas</v>
      </c>
      <c r="C554">
        <v>155372</v>
      </c>
      <c r="D554">
        <v>1000</v>
      </c>
    </row>
    <row r="555" spans="1:4" x14ac:dyDescent="0.25">
      <c r="A555" t="str">
        <f>T("442010")</f>
        <v>442010</v>
      </c>
      <c r="B555" t="str">
        <f>T("Statuettes et autres objets d'ornement, en bois (autres que marquetés ou incrustés)")</f>
        <v>Statuettes et autres objets d'ornement, en bois (autres que marquetés ou incrustés)</v>
      </c>
    </row>
    <row r="556" spans="1:4" x14ac:dyDescent="0.25">
      <c r="A556" t="str">
        <f>T("   ZZZ_Monde")</f>
        <v xml:space="preserve">   ZZZ_Monde</v>
      </c>
      <c r="B556" t="str">
        <f>T("   ZZZ_Monde")</f>
        <v xml:space="preserve">   ZZZ_Monde</v>
      </c>
      <c r="C556">
        <v>136440</v>
      </c>
      <c r="D556">
        <v>28</v>
      </c>
    </row>
    <row r="557" spans="1:4" x14ac:dyDescent="0.25">
      <c r="A557" t="str">
        <f>T("   NL")</f>
        <v xml:space="preserve">   NL</v>
      </c>
      <c r="B557" t="str">
        <f>T("   Pays-bas")</f>
        <v xml:space="preserve">   Pays-bas</v>
      </c>
      <c r="C557">
        <v>136440</v>
      </c>
      <c r="D557">
        <v>28</v>
      </c>
    </row>
    <row r="558" spans="1:4" x14ac:dyDescent="0.25">
      <c r="A558" t="str">
        <f>T("460120")</f>
        <v>460120</v>
      </c>
      <c r="B558" t="str">
        <f>T("Nattes, paillassons et claies en matières à tresser végétales, tissés ou parallélisés, à plat")</f>
        <v>Nattes, paillassons et claies en matières à tresser végétales, tissés ou parallélisés, à plat</v>
      </c>
    </row>
    <row r="559" spans="1:4" x14ac:dyDescent="0.25">
      <c r="A559" t="str">
        <f>T("   ZZZ_Monde")</f>
        <v xml:space="preserve">   ZZZ_Monde</v>
      </c>
      <c r="B559" t="str">
        <f>T("   ZZZ_Monde")</f>
        <v xml:space="preserve">   ZZZ_Monde</v>
      </c>
      <c r="C559">
        <v>150000</v>
      </c>
      <c r="D559">
        <v>300</v>
      </c>
    </row>
    <row r="560" spans="1:4" x14ac:dyDescent="0.25">
      <c r="A560" t="str">
        <f>T("   FR")</f>
        <v xml:space="preserve">   FR</v>
      </c>
      <c r="B560" t="str">
        <f>T("   France")</f>
        <v xml:space="preserve">   France</v>
      </c>
      <c r="C560">
        <v>150000</v>
      </c>
      <c r="D560">
        <v>300</v>
      </c>
    </row>
    <row r="561" spans="1:4" x14ac:dyDescent="0.25">
      <c r="A561" t="str">
        <f>T("480419")</f>
        <v>480419</v>
      </c>
      <c r="B561" t="str">
        <f>T("PAPIERS ET CARTONS POUR COUVERTURE, DITS 'KRAFTLINER', NON-COUCHÉS NI ENDUITS, EN ROULEAUX D'UNE LARGEUR &gt; 36 CM (À L'EXCL. DES PAPIERS ET CARTONS ÉCRUS AINSI QUE DES ARTICLES DU N° 4802 OU 4803)")</f>
        <v>PAPIERS ET CARTONS POUR COUVERTURE, DITS 'KRAFTLINER', NON-COUCHÉS NI ENDUITS, EN ROULEAUX D'UNE LARGEUR &gt; 36 CM (À L'EXCL. DES PAPIERS ET CARTONS ÉCRUS AINSI QUE DES ARTICLES DU N° 4802 OU 4803)</v>
      </c>
    </row>
    <row r="562" spans="1:4" x14ac:dyDescent="0.25">
      <c r="A562" t="str">
        <f>T("   ZZZ_Monde")</f>
        <v xml:space="preserve">   ZZZ_Monde</v>
      </c>
      <c r="B562" t="str">
        <f>T("   ZZZ_Monde")</f>
        <v xml:space="preserve">   ZZZ_Monde</v>
      </c>
      <c r="C562">
        <v>1696419</v>
      </c>
      <c r="D562">
        <v>3000</v>
      </c>
    </row>
    <row r="563" spans="1:4" x14ac:dyDescent="0.25">
      <c r="A563" t="str">
        <f>T("   CI")</f>
        <v xml:space="preserve">   CI</v>
      </c>
      <c r="B563" t="str">
        <f>T("   Côte d'Ivoire")</f>
        <v xml:space="preserve">   Côte d'Ivoire</v>
      </c>
      <c r="C563">
        <v>1696419</v>
      </c>
      <c r="D563">
        <v>3000</v>
      </c>
    </row>
    <row r="564" spans="1:4" x14ac:dyDescent="0.25">
      <c r="A564" t="str">
        <f>T("481029")</f>
        <v>481029</v>
      </c>
      <c r="B564" t="str">
        <f>T("Papiers et cartons, des types utilisés pour écriture, impression ou autres fins graphiques, dont &gt; 10% en poids de la composition fibreuse totale sont constitués par des fibres obtenues par un procédé mécanique ou chimico-mécanique,  couché au kaolin ou à")</f>
        <v>Papiers et cartons, des types utilisés pour écriture, impression ou autres fins graphiques, dont &gt; 10% en poids de la composition fibreuse totale sont constitués par des fibres obtenues par un procédé mécanique ou chimico-mécanique,  couché au kaolin ou à</v>
      </c>
    </row>
    <row r="565" spans="1:4" x14ac:dyDescent="0.25">
      <c r="A565" t="str">
        <f>T("   ZZZ_Monde")</f>
        <v xml:space="preserve">   ZZZ_Monde</v>
      </c>
      <c r="B565" t="str">
        <f>T("   ZZZ_Monde")</f>
        <v xml:space="preserve">   ZZZ_Monde</v>
      </c>
      <c r="C565">
        <v>4550000</v>
      </c>
      <c r="D565">
        <v>20650</v>
      </c>
    </row>
    <row r="566" spans="1:4" x14ac:dyDescent="0.25">
      <c r="A566" t="str">
        <f>T("   GH")</f>
        <v xml:space="preserve">   GH</v>
      </c>
      <c r="B566" t="str">
        <f>T("   Ghana")</f>
        <v xml:space="preserve">   Ghana</v>
      </c>
      <c r="C566">
        <v>200000</v>
      </c>
      <c r="D566">
        <v>20000</v>
      </c>
    </row>
    <row r="567" spans="1:4" x14ac:dyDescent="0.25">
      <c r="A567" t="str">
        <f>T("   GQ")</f>
        <v xml:space="preserve">   GQ</v>
      </c>
      <c r="B567" t="str">
        <f>T("   Guinée Equatoriale")</f>
        <v xml:space="preserve">   Guinée Equatoriale</v>
      </c>
      <c r="C567">
        <v>4350000</v>
      </c>
      <c r="D567">
        <v>650</v>
      </c>
    </row>
    <row r="568" spans="1:4" x14ac:dyDescent="0.25">
      <c r="A568" t="str">
        <f>T("481810")</f>
        <v>481810</v>
      </c>
      <c r="B568" t="str">
        <f>T("Papier hygiénique, en rouleaux d'une largeur &lt;= 36 cm")</f>
        <v>Papier hygiénique, en rouleaux d'une largeur &lt;= 36 cm</v>
      </c>
    </row>
    <row r="569" spans="1:4" x14ac:dyDescent="0.25">
      <c r="A569" t="str">
        <f>T("   ZZZ_Monde")</f>
        <v xml:space="preserve">   ZZZ_Monde</v>
      </c>
      <c r="B569" t="str">
        <f>T("   ZZZ_Monde")</f>
        <v xml:space="preserve">   ZZZ_Monde</v>
      </c>
      <c r="C569">
        <v>1710000</v>
      </c>
      <c r="D569">
        <v>5800</v>
      </c>
    </row>
    <row r="570" spans="1:4" x14ac:dyDescent="0.25">
      <c r="A570" t="str">
        <f>T("   TG")</f>
        <v xml:space="preserve">   TG</v>
      </c>
      <c r="B570" t="str">
        <f>T("   Togo")</f>
        <v xml:space="preserve">   Togo</v>
      </c>
      <c r="C570">
        <v>1710000</v>
      </c>
      <c r="D570">
        <v>5800</v>
      </c>
    </row>
    <row r="571" spans="1:4" x14ac:dyDescent="0.25">
      <c r="A571" t="str">
        <f>T("481820")</f>
        <v>481820</v>
      </c>
      <c r="B571" t="str">
        <f>T("Mouchoirs, serviettes à démaquiller et essuie-mains, en pâte à papier, papier, ouate de cellulose ou nappes de fibres de cellulose")</f>
        <v>Mouchoirs, serviettes à démaquiller et essuie-mains, en pâte à papier, papier, ouate de cellulose ou nappes de fibres de cellulose</v>
      </c>
    </row>
    <row r="572" spans="1:4" x14ac:dyDescent="0.25">
      <c r="A572" t="str">
        <f>T("   ZZZ_Monde")</f>
        <v xml:space="preserve">   ZZZ_Monde</v>
      </c>
      <c r="B572" t="str">
        <f>T("   ZZZ_Monde")</f>
        <v xml:space="preserve">   ZZZ_Monde</v>
      </c>
      <c r="C572">
        <v>4134000</v>
      </c>
      <c r="D572">
        <v>3400</v>
      </c>
    </row>
    <row r="573" spans="1:4" x14ac:dyDescent="0.25">
      <c r="A573" t="str">
        <f>T("   TG")</f>
        <v xml:space="preserve">   TG</v>
      </c>
      <c r="B573" t="str">
        <f>T("   Togo")</f>
        <v xml:space="preserve">   Togo</v>
      </c>
      <c r="C573">
        <v>4134000</v>
      </c>
      <c r="D573">
        <v>3400</v>
      </c>
    </row>
    <row r="574" spans="1:4" x14ac:dyDescent="0.25">
      <c r="A574" t="str">
        <f>T("481910")</f>
        <v>481910</v>
      </c>
      <c r="B574" t="str">
        <f>T("Boîtes et caisses en papier ou en carton ondulé")</f>
        <v>Boîtes et caisses en papier ou en carton ondulé</v>
      </c>
    </row>
    <row r="575" spans="1:4" x14ac:dyDescent="0.25">
      <c r="A575" t="str">
        <f>T("   ZZZ_Monde")</f>
        <v xml:space="preserve">   ZZZ_Monde</v>
      </c>
      <c r="B575" t="str">
        <f>T("   ZZZ_Monde")</f>
        <v xml:space="preserve">   ZZZ_Monde</v>
      </c>
      <c r="C575">
        <v>648876</v>
      </c>
      <c r="D575">
        <v>1056</v>
      </c>
    </row>
    <row r="576" spans="1:4" x14ac:dyDescent="0.25">
      <c r="A576" t="str">
        <f>T("   FR")</f>
        <v xml:space="preserve">   FR</v>
      </c>
      <c r="B576" t="str">
        <f>T("   France")</f>
        <v xml:space="preserve">   France</v>
      </c>
      <c r="C576">
        <v>648876</v>
      </c>
      <c r="D576">
        <v>1056</v>
      </c>
    </row>
    <row r="577" spans="1:4" x14ac:dyDescent="0.25">
      <c r="A577" t="str">
        <f>T("481940")</f>
        <v>481940</v>
      </c>
      <c r="B577" t="str">
        <f>T("Sacs, sachets, pochettes et cornets, en papier, carton, ouate de cellulose ou nappes de fibres de cellulose (à l'excl. des pochettes pour disques et des sacs d'une largeur à la base &gt;= 40 cm)")</f>
        <v>Sacs, sachets, pochettes et cornets, en papier, carton, ouate de cellulose ou nappes de fibres de cellulose (à l'excl. des pochettes pour disques et des sacs d'une largeur à la base &gt;= 40 cm)</v>
      </c>
    </row>
    <row r="578" spans="1:4" x14ac:dyDescent="0.25">
      <c r="A578" t="str">
        <f>T("   ZZZ_Monde")</f>
        <v xml:space="preserve">   ZZZ_Monde</v>
      </c>
      <c r="B578" t="str">
        <f>T("   ZZZ_Monde")</f>
        <v xml:space="preserve">   ZZZ_Monde</v>
      </c>
      <c r="C578">
        <v>3840711</v>
      </c>
      <c r="D578">
        <v>1376</v>
      </c>
    </row>
    <row r="579" spans="1:4" x14ac:dyDescent="0.25">
      <c r="A579" t="str">
        <f>T("   FR")</f>
        <v xml:space="preserve">   FR</v>
      </c>
      <c r="B579" t="str">
        <f>T("   France")</f>
        <v xml:space="preserve">   France</v>
      </c>
      <c r="C579">
        <v>3840711</v>
      </c>
      <c r="D579">
        <v>1376</v>
      </c>
    </row>
    <row r="580" spans="1:4" x14ac:dyDescent="0.25">
      <c r="A580" t="str">
        <f>T("482020")</f>
        <v>482020</v>
      </c>
      <c r="B580" t="str">
        <f>T("Cahiers pour l'écriture, en papier ou carton")</f>
        <v>Cahiers pour l'écriture, en papier ou carton</v>
      </c>
    </row>
    <row r="581" spans="1:4" x14ac:dyDescent="0.25">
      <c r="A581" t="str">
        <f>T("   ZZZ_Monde")</f>
        <v xml:space="preserve">   ZZZ_Monde</v>
      </c>
      <c r="B581" t="str">
        <f>T("   ZZZ_Monde")</f>
        <v xml:space="preserve">   ZZZ_Monde</v>
      </c>
      <c r="C581">
        <v>115455500</v>
      </c>
      <c r="D581">
        <v>313208</v>
      </c>
    </row>
    <row r="582" spans="1:4" x14ac:dyDescent="0.25">
      <c r="A582" t="str">
        <f>T("   BF")</f>
        <v xml:space="preserve">   BF</v>
      </c>
      <c r="B582" t="str">
        <f>T("   Burkina Faso")</f>
        <v xml:space="preserve">   Burkina Faso</v>
      </c>
      <c r="C582">
        <v>5240000</v>
      </c>
      <c r="D582">
        <v>8560</v>
      </c>
    </row>
    <row r="583" spans="1:4" x14ac:dyDescent="0.25">
      <c r="A583" t="str">
        <f>T("   NE")</f>
        <v xml:space="preserve">   NE</v>
      </c>
      <c r="B583" t="str">
        <f>T("   Niger")</f>
        <v xml:space="preserve">   Niger</v>
      </c>
      <c r="C583">
        <v>61071500</v>
      </c>
      <c r="D583">
        <v>181397</v>
      </c>
    </row>
    <row r="584" spans="1:4" x14ac:dyDescent="0.25">
      <c r="A584" t="str">
        <f>T("   SN")</f>
        <v xml:space="preserve">   SN</v>
      </c>
      <c r="B584" t="str">
        <f>T("   Sénégal")</f>
        <v xml:space="preserve">   Sénégal</v>
      </c>
      <c r="C584">
        <v>35493000</v>
      </c>
      <c r="D584">
        <v>75000</v>
      </c>
    </row>
    <row r="585" spans="1:4" x14ac:dyDescent="0.25">
      <c r="A585" t="str">
        <f>T("   TG")</f>
        <v xml:space="preserve">   TG</v>
      </c>
      <c r="B585" t="str">
        <f>T("   Togo")</f>
        <v xml:space="preserve">   Togo</v>
      </c>
      <c r="C585">
        <v>13651000</v>
      </c>
      <c r="D585">
        <v>48251</v>
      </c>
    </row>
    <row r="586" spans="1:4" x14ac:dyDescent="0.25">
      <c r="A586" t="str">
        <f>T("490199")</f>
        <v>490199</v>
      </c>
      <c r="B586" t="str">
        <f>T("Livres, brochures et imprimés simil. (à l'excl. des produits en feuillets isolés, des dictionnaires et encyclopédies, même en fascicules, des publications périodiques ainsi que des publications à usages principalement publicitaires)")</f>
        <v>Livres, brochures et imprimés simil. (à l'excl. des produits en feuillets isolés, des dictionnaires et encyclopédies, même en fascicules, des publications périodiques ainsi que des publications à usages principalement publicitaires)</v>
      </c>
    </row>
    <row r="587" spans="1:4" x14ac:dyDescent="0.25">
      <c r="A587" t="str">
        <f>T("   ZZZ_Monde")</f>
        <v xml:space="preserve">   ZZZ_Monde</v>
      </c>
      <c r="B587" t="str">
        <f>T("   ZZZ_Monde")</f>
        <v xml:space="preserve">   ZZZ_Monde</v>
      </c>
      <c r="C587">
        <v>12035990</v>
      </c>
      <c r="D587">
        <v>13481</v>
      </c>
    </row>
    <row r="588" spans="1:4" x14ac:dyDescent="0.25">
      <c r="A588" t="str">
        <f>T("   AR")</f>
        <v xml:space="preserve">   AR</v>
      </c>
      <c r="B588" t="str">
        <f>T("   Argentine")</f>
        <v xml:space="preserve">   Argentine</v>
      </c>
      <c r="C588">
        <v>400000</v>
      </c>
      <c r="D588">
        <v>400</v>
      </c>
    </row>
    <row r="589" spans="1:4" x14ac:dyDescent="0.25">
      <c r="A589" t="str">
        <f>T("   BE")</f>
        <v xml:space="preserve">   BE</v>
      </c>
      <c r="B589" t="str">
        <f>T("   Belgique")</f>
        <v xml:space="preserve">   Belgique</v>
      </c>
      <c r="C589">
        <v>2200000</v>
      </c>
      <c r="D589">
        <v>2474</v>
      </c>
    </row>
    <row r="590" spans="1:4" x14ac:dyDescent="0.25">
      <c r="A590" t="str">
        <f>T("   CA")</f>
        <v xml:space="preserve">   CA</v>
      </c>
      <c r="B590" t="str">
        <f>T("   Canada")</f>
        <v xml:space="preserve">   Canada</v>
      </c>
      <c r="C590">
        <v>150000</v>
      </c>
      <c r="D590">
        <v>200</v>
      </c>
    </row>
    <row r="591" spans="1:4" x14ac:dyDescent="0.25">
      <c r="A591" t="str">
        <f>T("   CD")</f>
        <v xml:space="preserve">   CD</v>
      </c>
      <c r="B591" t="str">
        <f>T("   Congo, République Démocratique")</f>
        <v xml:space="preserve">   Congo, République Démocratique</v>
      </c>
      <c r="C591">
        <v>200000</v>
      </c>
      <c r="D591">
        <v>200</v>
      </c>
    </row>
    <row r="592" spans="1:4" x14ac:dyDescent="0.25">
      <c r="A592" t="str">
        <f>T("   CG")</f>
        <v xml:space="preserve">   CG</v>
      </c>
      <c r="B592" t="str">
        <f>T("   Congo (Brazzaville)")</f>
        <v xml:space="preserve">   Congo (Brazzaville)</v>
      </c>
      <c r="C592">
        <v>200000</v>
      </c>
      <c r="D592">
        <v>300</v>
      </c>
    </row>
    <row r="593" spans="1:4" x14ac:dyDescent="0.25">
      <c r="A593" t="str">
        <f>T("   CI")</f>
        <v xml:space="preserve">   CI</v>
      </c>
      <c r="B593" t="str">
        <f>T("   Côte d'Ivoire")</f>
        <v xml:space="preserve">   Côte d'Ivoire</v>
      </c>
      <c r="C593">
        <v>200000</v>
      </c>
      <c r="D593">
        <v>300</v>
      </c>
    </row>
    <row r="594" spans="1:4" x14ac:dyDescent="0.25">
      <c r="A594" t="str">
        <f>T("   DK")</f>
        <v xml:space="preserve">   DK</v>
      </c>
      <c r="B594" t="str">
        <f>T("   Danemark")</f>
        <v xml:space="preserve">   Danemark</v>
      </c>
      <c r="C594">
        <v>300000</v>
      </c>
      <c r="D594">
        <v>200</v>
      </c>
    </row>
    <row r="595" spans="1:4" x14ac:dyDescent="0.25">
      <c r="A595" t="str">
        <f>T("   FR")</f>
        <v xml:space="preserve">   FR</v>
      </c>
      <c r="B595" t="str">
        <f>T("   France")</f>
        <v xml:space="preserve">   France</v>
      </c>
      <c r="C595">
        <v>2650000</v>
      </c>
      <c r="D595">
        <v>2700</v>
      </c>
    </row>
    <row r="596" spans="1:4" x14ac:dyDescent="0.25">
      <c r="A596" t="str">
        <f>T("   GB")</f>
        <v xml:space="preserve">   GB</v>
      </c>
      <c r="B596" t="str">
        <f>T("   Royaume-Uni")</f>
        <v xml:space="preserve">   Royaume-Uni</v>
      </c>
      <c r="C596">
        <v>500000</v>
      </c>
      <c r="D596">
        <v>400</v>
      </c>
    </row>
    <row r="597" spans="1:4" x14ac:dyDescent="0.25">
      <c r="A597" t="str">
        <f>T("   MA")</f>
        <v xml:space="preserve">   MA</v>
      </c>
      <c r="B597" t="str">
        <f>T("   Maroc")</f>
        <v xml:space="preserve">   Maroc</v>
      </c>
      <c r="C597">
        <v>300000</v>
      </c>
      <c r="D597">
        <v>500</v>
      </c>
    </row>
    <row r="598" spans="1:4" x14ac:dyDescent="0.25">
      <c r="A598" t="str">
        <f>T("   NL")</f>
        <v xml:space="preserve">   NL</v>
      </c>
      <c r="B598" t="str">
        <f>T("   Pays-bas")</f>
        <v xml:space="preserve">   Pays-bas</v>
      </c>
      <c r="C598">
        <v>527686</v>
      </c>
      <c r="D598">
        <v>800</v>
      </c>
    </row>
    <row r="599" spans="1:4" x14ac:dyDescent="0.25">
      <c r="A599" t="str">
        <f>T("   PK")</f>
        <v xml:space="preserve">   PK</v>
      </c>
      <c r="B599" t="str">
        <f>T("   Pakistan")</f>
        <v xml:space="preserve">   Pakistan</v>
      </c>
      <c r="C599">
        <v>200000</v>
      </c>
      <c r="D599">
        <v>200</v>
      </c>
    </row>
    <row r="600" spans="1:4" x14ac:dyDescent="0.25">
      <c r="A600" t="str">
        <f>T("   RW")</f>
        <v xml:space="preserve">   RW</v>
      </c>
      <c r="B600" t="str">
        <f>T("   Rwanda")</f>
        <v xml:space="preserve">   Rwanda</v>
      </c>
      <c r="C600">
        <v>200000</v>
      </c>
      <c r="D600">
        <v>500</v>
      </c>
    </row>
    <row r="601" spans="1:4" x14ac:dyDescent="0.25">
      <c r="A601" t="str">
        <f>T("   SN")</f>
        <v xml:space="preserve">   SN</v>
      </c>
      <c r="B601" t="str">
        <f>T("   Sénégal")</f>
        <v xml:space="preserve">   Sénégal</v>
      </c>
      <c r="C601">
        <v>1085000</v>
      </c>
      <c r="D601">
        <v>2250</v>
      </c>
    </row>
    <row r="602" spans="1:4" x14ac:dyDescent="0.25">
      <c r="A602" t="str">
        <f>T("   TH")</f>
        <v xml:space="preserve">   TH</v>
      </c>
      <c r="B602" t="str">
        <f>T("   Thaïlande")</f>
        <v xml:space="preserve">   Thaïlande</v>
      </c>
      <c r="C602">
        <v>2423304</v>
      </c>
      <c r="D602">
        <v>1297</v>
      </c>
    </row>
    <row r="603" spans="1:4" x14ac:dyDescent="0.25">
      <c r="A603" t="str">
        <f>T("   US")</f>
        <v xml:space="preserve">   US</v>
      </c>
      <c r="B603" t="str">
        <f>T("   Etats-Unis")</f>
        <v xml:space="preserve">   Etats-Unis</v>
      </c>
      <c r="C603">
        <v>500000</v>
      </c>
      <c r="D603">
        <v>760</v>
      </c>
    </row>
    <row r="604" spans="1:4" x14ac:dyDescent="0.25">
      <c r="A604" t="str">
        <f>T("490700")</f>
        <v>490700</v>
      </c>
      <c r="B604" t="str">
        <f>T("TIMBRES-POSTE, TIMBRES FISCAUX ET ANALOGUES, NON-OBLITÉRÉS, AYANT COURS OU DESTINÉS À AVOIR COURS DANS LE PAYS DANS LEQUEL ILS ONT,  OU AURONT, UNE VALEUR FACIALE RECONNUE; PAPIER TIMBRÉ; BILLETS DE BANQUE; CHÈQUES; TITRES D'ACTIONS OU D'OBLIGATIONS ET TI")</f>
        <v>TIMBRES-POSTE, TIMBRES FISCAUX ET ANALOGUES, NON-OBLITÉRÉS, AYANT COURS OU DESTINÉS À AVOIR COURS DANS LE PAYS DANS LEQUEL ILS ONT,  OU AURONT, UNE VALEUR FACIALE RECONNUE; PAPIER TIMBRÉ; BILLETS DE BANQUE; CHÈQUES; TITRES D'ACTIONS OU D'OBLIGATIONS ET TI</v>
      </c>
    </row>
    <row r="605" spans="1:4" x14ac:dyDescent="0.25">
      <c r="A605" t="str">
        <f>T("   ZZZ_Monde")</f>
        <v xml:space="preserve">   ZZZ_Monde</v>
      </c>
      <c r="B605" t="str">
        <f>T("   ZZZ_Monde")</f>
        <v xml:space="preserve">   ZZZ_Monde</v>
      </c>
      <c r="C605">
        <v>176300000</v>
      </c>
      <c r="D605">
        <v>81247</v>
      </c>
    </row>
    <row r="606" spans="1:4" x14ac:dyDescent="0.25">
      <c r="A606" t="str">
        <f>T("   BF")</f>
        <v xml:space="preserve">   BF</v>
      </c>
      <c r="B606" t="str">
        <f>T("   Burkina Faso")</f>
        <v xml:space="preserve">   Burkina Faso</v>
      </c>
      <c r="C606">
        <v>12400000</v>
      </c>
      <c r="D606">
        <v>5777</v>
      </c>
    </row>
    <row r="607" spans="1:4" x14ac:dyDescent="0.25">
      <c r="A607" t="str">
        <f>T("   CI")</f>
        <v xml:space="preserve">   CI</v>
      </c>
      <c r="B607" t="str">
        <f>T("   Côte d'Ivoire")</f>
        <v xml:space="preserve">   Côte d'Ivoire</v>
      </c>
      <c r="C607">
        <v>55100000</v>
      </c>
      <c r="D607">
        <v>25641</v>
      </c>
    </row>
    <row r="608" spans="1:4" x14ac:dyDescent="0.25">
      <c r="A608" t="str">
        <f>T("   FR")</f>
        <v xml:space="preserve">   FR</v>
      </c>
      <c r="B608" t="str">
        <f>T("   France")</f>
        <v xml:space="preserve">   France</v>
      </c>
      <c r="C608">
        <v>82200000</v>
      </c>
      <c r="D608">
        <v>37372</v>
      </c>
    </row>
    <row r="609" spans="1:4" x14ac:dyDescent="0.25">
      <c r="A609" t="str">
        <f>T("   NE")</f>
        <v xml:space="preserve">   NE</v>
      </c>
      <c r="B609" t="str">
        <f>T("   Niger")</f>
        <v xml:space="preserve">   Niger</v>
      </c>
      <c r="C609">
        <v>2200000</v>
      </c>
      <c r="D609">
        <v>1015</v>
      </c>
    </row>
    <row r="610" spans="1:4" x14ac:dyDescent="0.25">
      <c r="A610" t="str">
        <f>T("   NI")</f>
        <v xml:space="preserve">   NI</v>
      </c>
      <c r="B610" t="str">
        <f>T("   Nicaragua")</f>
        <v xml:space="preserve">   Nicaragua</v>
      </c>
      <c r="C610">
        <v>1900000</v>
      </c>
      <c r="D610">
        <v>893</v>
      </c>
    </row>
    <row r="611" spans="1:4" x14ac:dyDescent="0.25">
      <c r="A611" t="str">
        <f>T("   TG")</f>
        <v xml:space="preserve">   TG</v>
      </c>
      <c r="B611" t="str">
        <f>T("   Togo")</f>
        <v xml:space="preserve">   Togo</v>
      </c>
      <c r="C611">
        <v>22500000</v>
      </c>
      <c r="D611">
        <v>10549</v>
      </c>
    </row>
    <row r="612" spans="1:4" x14ac:dyDescent="0.25">
      <c r="A612" t="str">
        <f>T("491110")</f>
        <v>491110</v>
      </c>
      <c r="B612" t="str">
        <f>T("Imprimés publicitaires, catalogues commerciaux et simil.")</f>
        <v>Imprimés publicitaires, catalogues commerciaux et simil.</v>
      </c>
    </row>
    <row r="613" spans="1:4" x14ac:dyDescent="0.25">
      <c r="A613" t="str">
        <f>T("   ZZZ_Monde")</f>
        <v xml:space="preserve">   ZZZ_Monde</v>
      </c>
      <c r="B613" t="str">
        <f>T("   ZZZ_Monde")</f>
        <v xml:space="preserve">   ZZZ_Monde</v>
      </c>
      <c r="C613">
        <v>1786250</v>
      </c>
      <c r="D613">
        <v>250</v>
      </c>
    </row>
    <row r="614" spans="1:4" x14ac:dyDescent="0.25">
      <c r="A614" t="str">
        <f>T("   LR")</f>
        <v xml:space="preserve">   LR</v>
      </c>
      <c r="B614" t="str">
        <f>T("   Libéria")</f>
        <v xml:space="preserve">   Libéria</v>
      </c>
      <c r="C614">
        <v>1786250</v>
      </c>
      <c r="D614">
        <v>250</v>
      </c>
    </row>
    <row r="615" spans="1:4" x14ac:dyDescent="0.25">
      <c r="A615" t="str">
        <f>T("491191")</f>
        <v>491191</v>
      </c>
      <c r="B615" t="str">
        <f>T("Images, gravures et photographies, n.d.a.")</f>
        <v>Images, gravures et photographies, n.d.a.</v>
      </c>
    </row>
    <row r="616" spans="1:4" x14ac:dyDescent="0.25">
      <c r="A616" t="str">
        <f>T("   ZZZ_Monde")</f>
        <v xml:space="preserve">   ZZZ_Monde</v>
      </c>
      <c r="B616" t="str">
        <f>T("   ZZZ_Monde")</f>
        <v xml:space="preserve">   ZZZ_Monde</v>
      </c>
      <c r="C616">
        <v>200000</v>
      </c>
      <c r="D616">
        <v>1050</v>
      </c>
    </row>
    <row r="617" spans="1:4" x14ac:dyDescent="0.25">
      <c r="A617" t="str">
        <f>T("   TG")</f>
        <v xml:space="preserve">   TG</v>
      </c>
      <c r="B617" t="str">
        <f>T("   Togo")</f>
        <v xml:space="preserve">   Togo</v>
      </c>
      <c r="C617">
        <v>200000</v>
      </c>
      <c r="D617">
        <v>1050</v>
      </c>
    </row>
    <row r="618" spans="1:4" x14ac:dyDescent="0.25">
      <c r="A618" t="str">
        <f>T("491199")</f>
        <v>491199</v>
      </c>
      <c r="B618" t="str">
        <f>T("Imprimés, n.d.a.")</f>
        <v>Imprimés, n.d.a.</v>
      </c>
    </row>
    <row r="619" spans="1:4" x14ac:dyDescent="0.25">
      <c r="A619" t="str">
        <f>T("   ZZZ_Monde")</f>
        <v xml:space="preserve">   ZZZ_Monde</v>
      </c>
      <c r="B619" t="str">
        <f>T("   ZZZ_Monde")</f>
        <v xml:space="preserve">   ZZZ_Monde</v>
      </c>
      <c r="C619">
        <v>5250000</v>
      </c>
      <c r="D619">
        <v>4930</v>
      </c>
    </row>
    <row r="620" spans="1:4" x14ac:dyDescent="0.25">
      <c r="A620" t="str">
        <f>T("   SN")</f>
        <v xml:space="preserve">   SN</v>
      </c>
      <c r="B620" t="str">
        <f>T("   Sénégal")</f>
        <v xml:space="preserve">   Sénégal</v>
      </c>
      <c r="C620">
        <v>250000</v>
      </c>
      <c r="D620">
        <v>930</v>
      </c>
    </row>
    <row r="621" spans="1:4" x14ac:dyDescent="0.25">
      <c r="A621" t="str">
        <f>T("   TG")</f>
        <v xml:space="preserve">   TG</v>
      </c>
      <c r="B621" t="str">
        <f>T("   Togo")</f>
        <v xml:space="preserve">   Togo</v>
      </c>
      <c r="C621">
        <v>5000000</v>
      </c>
      <c r="D621">
        <v>4000</v>
      </c>
    </row>
    <row r="622" spans="1:4" x14ac:dyDescent="0.25">
      <c r="A622" t="str">
        <f>T("520100")</f>
        <v>520100</v>
      </c>
      <c r="B622" t="str">
        <f>T("COTON, NON-CARDÉ NI PEIGNÉ")</f>
        <v>COTON, NON-CARDÉ NI PEIGNÉ</v>
      </c>
    </row>
    <row r="623" spans="1:4" x14ac:dyDescent="0.25">
      <c r="A623" t="str">
        <f>T("   ZZZ_Monde")</f>
        <v xml:space="preserve">   ZZZ_Monde</v>
      </c>
      <c r="B623" t="str">
        <f>T("   ZZZ_Monde")</f>
        <v xml:space="preserve">   ZZZ_Monde</v>
      </c>
      <c r="C623">
        <v>50234799162</v>
      </c>
      <c r="D623">
        <v>69480437</v>
      </c>
    </row>
    <row r="624" spans="1:4" x14ac:dyDescent="0.25">
      <c r="A624" t="str">
        <f>T("   BD")</f>
        <v xml:space="preserve">   BD</v>
      </c>
      <c r="B624" t="str">
        <f>T("   Bangladesh")</f>
        <v xml:space="preserve">   Bangladesh</v>
      </c>
      <c r="C624">
        <v>1411845863</v>
      </c>
      <c r="D624">
        <v>1941966</v>
      </c>
    </row>
    <row r="625" spans="1:4" x14ac:dyDescent="0.25">
      <c r="A625" t="str">
        <f>T("   CN")</f>
        <v xml:space="preserve">   CN</v>
      </c>
      <c r="B625" t="str">
        <f>T("   Chine")</f>
        <v xml:space="preserve">   Chine</v>
      </c>
      <c r="C625">
        <v>23142693406</v>
      </c>
      <c r="D625">
        <v>32096218</v>
      </c>
    </row>
    <row r="626" spans="1:4" x14ac:dyDescent="0.25">
      <c r="A626" t="str">
        <f>T("   DE")</f>
        <v xml:space="preserve">   DE</v>
      </c>
      <c r="B626" t="str">
        <f>T("   Allemagne")</f>
        <v xml:space="preserve">   Allemagne</v>
      </c>
      <c r="C626">
        <v>153724521</v>
      </c>
      <c r="D626">
        <v>214310</v>
      </c>
    </row>
    <row r="627" spans="1:4" x14ac:dyDescent="0.25">
      <c r="A627" t="str">
        <f>T("   ES")</f>
        <v xml:space="preserve">   ES</v>
      </c>
      <c r="B627" t="str">
        <f>T("   Espagne")</f>
        <v xml:space="preserve">   Espagne</v>
      </c>
      <c r="C627">
        <v>76967371</v>
      </c>
      <c r="D627">
        <v>179505</v>
      </c>
    </row>
    <row r="628" spans="1:4" x14ac:dyDescent="0.25">
      <c r="A628" t="str">
        <f>T("   FR")</f>
        <v xml:space="preserve">   FR</v>
      </c>
      <c r="B628" t="str">
        <f>T("   France")</f>
        <v xml:space="preserve">   France</v>
      </c>
      <c r="C628">
        <v>64267065</v>
      </c>
      <c r="D628">
        <v>70833</v>
      </c>
    </row>
    <row r="629" spans="1:4" x14ac:dyDescent="0.25">
      <c r="A629" t="str">
        <f>T("   ID")</f>
        <v xml:space="preserve">   ID</v>
      </c>
      <c r="B629" t="str">
        <f>T("   Indonésie")</f>
        <v xml:space="preserve">   Indonésie</v>
      </c>
      <c r="C629">
        <v>7670017315</v>
      </c>
      <c r="D629">
        <v>10605132</v>
      </c>
    </row>
    <row r="630" spans="1:4" x14ac:dyDescent="0.25">
      <c r="A630" t="str">
        <f>T("   IT")</f>
        <v xml:space="preserve">   IT</v>
      </c>
      <c r="B630" t="str">
        <f>T("   Italie")</f>
        <v xml:space="preserve">   Italie</v>
      </c>
      <c r="C630">
        <v>645865024</v>
      </c>
      <c r="D630">
        <v>883091</v>
      </c>
    </row>
    <row r="631" spans="1:4" x14ac:dyDescent="0.25">
      <c r="A631" t="str">
        <f>T("   MA")</f>
        <v xml:space="preserve">   MA</v>
      </c>
      <c r="B631" t="str">
        <f>T("   Maroc")</f>
        <v xml:space="preserve">   Maroc</v>
      </c>
      <c r="C631">
        <v>1015075774</v>
      </c>
      <c r="D631">
        <v>1393084</v>
      </c>
    </row>
    <row r="632" spans="1:4" x14ac:dyDescent="0.25">
      <c r="A632" t="str">
        <f>T("   MU")</f>
        <v xml:space="preserve">   MU</v>
      </c>
      <c r="B632" t="str">
        <f>T("   Maurice, île")</f>
        <v xml:space="preserve">   Maurice, île</v>
      </c>
      <c r="C632">
        <v>286019872</v>
      </c>
      <c r="D632">
        <v>399039</v>
      </c>
    </row>
    <row r="633" spans="1:4" x14ac:dyDescent="0.25">
      <c r="A633" t="str">
        <f>T("   MY")</f>
        <v xml:space="preserve">   MY</v>
      </c>
      <c r="B633" t="str">
        <f>T("   Malaisie")</f>
        <v xml:space="preserve">   Malaisie</v>
      </c>
      <c r="C633">
        <v>3870982651</v>
      </c>
      <c r="D633">
        <v>5269264</v>
      </c>
    </row>
    <row r="634" spans="1:4" x14ac:dyDescent="0.25">
      <c r="A634" t="str">
        <f>T("   PK")</f>
        <v xml:space="preserve">   PK</v>
      </c>
      <c r="B634" t="str">
        <f>T("   Pakistan")</f>
        <v xml:space="preserve">   Pakistan</v>
      </c>
      <c r="C634">
        <v>1464314273</v>
      </c>
      <c r="D634">
        <v>2002202</v>
      </c>
    </row>
    <row r="635" spans="1:4" x14ac:dyDescent="0.25">
      <c r="A635" t="str">
        <f>T("   PT")</f>
        <v xml:space="preserve">   PT</v>
      </c>
      <c r="B635" t="str">
        <f>T("   Portugal")</f>
        <v xml:space="preserve">   Portugal</v>
      </c>
      <c r="C635">
        <v>1666769468</v>
      </c>
      <c r="D635">
        <v>2256193</v>
      </c>
    </row>
    <row r="636" spans="1:4" x14ac:dyDescent="0.25">
      <c r="A636" t="str">
        <f>T("   SG")</f>
        <v xml:space="preserve">   SG</v>
      </c>
      <c r="B636" t="str">
        <f>T("   Singapour")</f>
        <v xml:space="preserve">   Singapour</v>
      </c>
      <c r="C636">
        <v>65322061</v>
      </c>
      <c r="D636">
        <v>93321</v>
      </c>
    </row>
    <row r="637" spans="1:4" x14ac:dyDescent="0.25">
      <c r="A637" t="str">
        <f>T("   SZ")</f>
        <v xml:space="preserve">   SZ</v>
      </c>
      <c r="B637" t="str">
        <f>T("   Swaziland")</f>
        <v xml:space="preserve">   Swaziland</v>
      </c>
      <c r="C637">
        <v>45746362</v>
      </c>
      <c r="D637">
        <v>114363</v>
      </c>
    </row>
    <row r="638" spans="1:4" x14ac:dyDescent="0.25">
      <c r="A638" t="str">
        <f>T("   TH")</f>
        <v xml:space="preserve">   TH</v>
      </c>
      <c r="B638" t="str">
        <f>T("   Thaïlande")</f>
        <v xml:space="preserve">   Thaïlande</v>
      </c>
      <c r="C638">
        <v>1949979132</v>
      </c>
      <c r="D638">
        <v>2668243</v>
      </c>
    </row>
    <row r="639" spans="1:4" x14ac:dyDescent="0.25">
      <c r="A639" t="str">
        <f>T("   TN")</f>
        <v xml:space="preserve">   TN</v>
      </c>
      <c r="B639" t="str">
        <f>T("   Tunisie")</f>
        <v xml:space="preserve">   Tunisie</v>
      </c>
      <c r="C639">
        <v>74192972</v>
      </c>
      <c r="D639">
        <v>99587</v>
      </c>
    </row>
    <row r="640" spans="1:4" x14ac:dyDescent="0.25">
      <c r="A640" t="str">
        <f>T("   TR")</f>
        <v xml:space="preserve">   TR</v>
      </c>
      <c r="B640" t="str">
        <f>T("   Turquie")</f>
        <v xml:space="preserve">   Turquie</v>
      </c>
      <c r="C640">
        <v>791425377</v>
      </c>
      <c r="D640">
        <v>1042714</v>
      </c>
    </row>
    <row r="641" spans="1:4" x14ac:dyDescent="0.25">
      <c r="A641" t="str">
        <f>T("   TW")</f>
        <v xml:space="preserve">   TW</v>
      </c>
      <c r="B641" t="str">
        <f>T("   Taïwan, Province de Chine")</f>
        <v xml:space="preserve">   Taïwan, Province de Chine</v>
      </c>
      <c r="C641">
        <v>1087845762</v>
      </c>
      <c r="D641">
        <v>1530488</v>
      </c>
    </row>
    <row r="642" spans="1:4" x14ac:dyDescent="0.25">
      <c r="A642" t="str">
        <f>T("   VN")</f>
        <v xml:space="preserve">   VN</v>
      </c>
      <c r="B642" t="str">
        <f>T("   Vietnam")</f>
        <v xml:space="preserve">   Vietnam</v>
      </c>
      <c r="C642">
        <v>4751744893</v>
      </c>
      <c r="D642">
        <v>6620884</v>
      </c>
    </row>
    <row r="643" spans="1:4" x14ac:dyDescent="0.25">
      <c r="A643" t="str">
        <f>T("520299")</f>
        <v>520299</v>
      </c>
      <c r="B643" t="str">
        <f>T("Déchets de coton (à l'excl. des déchets de fils et des effilochés)")</f>
        <v>Déchets de coton (à l'excl. des déchets de fils et des effilochés)</v>
      </c>
    </row>
    <row r="644" spans="1:4" x14ac:dyDescent="0.25">
      <c r="A644" t="str">
        <f>T("   ZZZ_Monde")</f>
        <v xml:space="preserve">   ZZZ_Monde</v>
      </c>
      <c r="B644" t="str">
        <f>T("   ZZZ_Monde")</f>
        <v xml:space="preserve">   ZZZ_Monde</v>
      </c>
      <c r="C644">
        <v>273736781</v>
      </c>
      <c r="D644">
        <v>1030685</v>
      </c>
    </row>
    <row r="645" spans="1:4" x14ac:dyDescent="0.25">
      <c r="A645" t="str">
        <f>T("   CN")</f>
        <v xml:space="preserve">   CN</v>
      </c>
      <c r="B645" t="str">
        <f>T("   Chine")</f>
        <v xml:space="preserve">   Chine</v>
      </c>
      <c r="C645">
        <v>169084126</v>
      </c>
      <c r="D645">
        <v>572006</v>
      </c>
    </row>
    <row r="646" spans="1:4" x14ac:dyDescent="0.25">
      <c r="A646" t="str">
        <f>T("   ES")</f>
        <v xml:space="preserve">   ES</v>
      </c>
      <c r="B646" t="str">
        <f>T("   Espagne")</f>
        <v xml:space="preserve">   Espagne</v>
      </c>
      <c r="C646">
        <v>39864499</v>
      </c>
      <c r="D646">
        <v>143143</v>
      </c>
    </row>
    <row r="647" spans="1:4" x14ac:dyDescent="0.25">
      <c r="A647" t="str">
        <f>T("   ID")</f>
        <v xml:space="preserve">   ID</v>
      </c>
      <c r="B647" t="str">
        <f>T("   Indonésie")</f>
        <v xml:space="preserve">   Indonésie</v>
      </c>
      <c r="C647">
        <v>13619015</v>
      </c>
      <c r="D647">
        <v>40870</v>
      </c>
    </row>
    <row r="648" spans="1:4" x14ac:dyDescent="0.25">
      <c r="A648" t="str">
        <f>T("   NL")</f>
        <v xml:space="preserve">   NL</v>
      </c>
      <c r="B648" t="str">
        <f>T("   Pays-bas")</f>
        <v xml:space="preserve">   Pays-bas</v>
      </c>
      <c r="C648">
        <v>738820</v>
      </c>
      <c r="D648">
        <v>95372</v>
      </c>
    </row>
    <row r="649" spans="1:4" x14ac:dyDescent="0.25">
      <c r="A649" t="str">
        <f>T("   TG")</f>
        <v xml:space="preserve">   TG</v>
      </c>
      <c r="B649" t="str">
        <f>T("   Togo")</f>
        <v xml:space="preserve">   Togo</v>
      </c>
      <c r="C649">
        <v>1650000</v>
      </c>
      <c r="D649">
        <v>22000</v>
      </c>
    </row>
    <row r="650" spans="1:4" x14ac:dyDescent="0.25">
      <c r="A650" t="str">
        <f>T("   TR")</f>
        <v xml:space="preserve">   TR</v>
      </c>
      <c r="B650" t="str">
        <f>T("   Turquie")</f>
        <v xml:space="preserve">   Turquie</v>
      </c>
      <c r="C650">
        <v>48780321</v>
      </c>
      <c r="D650">
        <v>157294</v>
      </c>
    </row>
    <row r="651" spans="1:4" x14ac:dyDescent="0.25">
      <c r="A651" t="str">
        <f>T("520512")</f>
        <v>520512</v>
      </c>
      <c r="B651" t="str">
        <f>T("Fils simples de coton, en fibres non peignées, contenant &gt;= 85% en poids de coton, titrant &gt;= 232,56 décitex mais &lt; 714,29 décitex [&gt; 14 numéros métriques mais &lt;= 43 numéros métriques] (sauf les fils à coudre et les fils conditionnés pour la vente au déta")</f>
        <v>Fils simples de coton, en fibres non peignées, contenant &gt;= 85% en poids de coton, titrant &gt;= 232,56 décitex mais &lt; 714,29 décitex [&gt; 14 numéros métriques mais &lt;= 43 numéros métriques] (sauf les fils à coudre et les fils conditionnés pour la vente au déta</v>
      </c>
    </row>
    <row r="652" spans="1:4" x14ac:dyDescent="0.25">
      <c r="A652" t="str">
        <f>T("   ZZZ_Monde")</f>
        <v xml:space="preserve">   ZZZ_Monde</v>
      </c>
      <c r="B652" t="str">
        <f>T("   ZZZ_Monde")</f>
        <v xml:space="preserve">   ZZZ_Monde</v>
      </c>
      <c r="C652">
        <v>473800168</v>
      </c>
      <c r="D652">
        <v>316750</v>
      </c>
    </row>
    <row r="653" spans="1:4" x14ac:dyDescent="0.25">
      <c r="A653" t="str">
        <f>T("   CN")</f>
        <v xml:space="preserve">   CN</v>
      </c>
      <c r="B653" t="str">
        <f>T("   Chine")</f>
        <v xml:space="preserve">   Chine</v>
      </c>
      <c r="C653">
        <v>473800168</v>
      </c>
      <c r="D653">
        <v>316750</v>
      </c>
    </row>
    <row r="654" spans="1:4" x14ac:dyDescent="0.25">
      <c r="A654" t="str">
        <f>T("520522")</f>
        <v>520522</v>
      </c>
      <c r="B654" t="str">
        <f>T("Fils simples de coton, en fibres peignées, contenant &gt;= 85% en poids de coton, titrant &gt;= 232,56 décitex mais &lt; 714,29 décitex [&gt; 14 numéros métriques mais &lt;= 43 numéros métriques] (sauf les fils à coudre et les fils conditionnés pour la vente au détail)")</f>
        <v>Fils simples de coton, en fibres peignées, contenant &gt;= 85% en poids de coton, titrant &gt;= 232,56 décitex mais &lt; 714,29 décitex [&gt; 14 numéros métriques mais &lt;= 43 numéros métriques] (sauf les fils à coudre et les fils conditionnés pour la vente au détail)</v>
      </c>
    </row>
    <row r="655" spans="1:4" x14ac:dyDescent="0.25">
      <c r="A655" t="str">
        <f>T("   ZZZ_Monde")</f>
        <v xml:space="preserve">   ZZZ_Monde</v>
      </c>
      <c r="B655" t="str">
        <f>T("   ZZZ_Monde")</f>
        <v xml:space="preserve">   ZZZ_Monde</v>
      </c>
      <c r="C655">
        <v>43572569</v>
      </c>
      <c r="D655">
        <v>20050</v>
      </c>
    </row>
    <row r="656" spans="1:4" x14ac:dyDescent="0.25">
      <c r="A656" t="str">
        <f>T("   CN")</f>
        <v xml:space="preserve">   CN</v>
      </c>
      <c r="B656" t="str">
        <f>T("   Chine")</f>
        <v xml:space="preserve">   Chine</v>
      </c>
      <c r="C656">
        <v>43572569</v>
      </c>
      <c r="D656">
        <v>20050</v>
      </c>
    </row>
    <row r="657" spans="1:4" x14ac:dyDescent="0.25">
      <c r="A657" t="str">
        <f>T("520812")</f>
        <v>520812</v>
      </c>
      <c r="B657" t="str">
        <f>T("Tissus de coton, écrus, à armure toile, contenant &gt;= 85% en poids de coton, d'un poids &gt; 100 g/m² mais &lt;= 200 g/m²")</f>
        <v>Tissus de coton, écrus, à armure toile, contenant &gt;= 85% en poids de coton, d'un poids &gt; 100 g/m² mais &lt;= 200 g/m²</v>
      </c>
    </row>
    <row r="658" spans="1:4" x14ac:dyDescent="0.25">
      <c r="A658" t="str">
        <f>T("   ZZZ_Monde")</f>
        <v xml:space="preserve">   ZZZ_Monde</v>
      </c>
      <c r="B658" t="str">
        <f>T("   ZZZ_Monde")</f>
        <v xml:space="preserve">   ZZZ_Monde</v>
      </c>
      <c r="C658">
        <v>2412589071</v>
      </c>
      <c r="D658">
        <v>1278523</v>
      </c>
    </row>
    <row r="659" spans="1:4" x14ac:dyDescent="0.25">
      <c r="A659" t="str">
        <f>T("   BF")</f>
        <v xml:space="preserve">   BF</v>
      </c>
      <c r="B659" t="str">
        <f>T("   Burkina Faso")</f>
        <v xml:space="preserve">   Burkina Faso</v>
      </c>
      <c r="C659">
        <v>127161600</v>
      </c>
      <c r="D659">
        <v>129786</v>
      </c>
    </row>
    <row r="660" spans="1:4" x14ac:dyDescent="0.25">
      <c r="A660" t="str">
        <f>T("   CI")</f>
        <v xml:space="preserve">   CI</v>
      </c>
      <c r="B660" t="str">
        <f>T("   Côte d'Ivoire")</f>
        <v xml:space="preserve">   Côte d'Ivoire</v>
      </c>
      <c r="C660">
        <v>382032000</v>
      </c>
      <c r="D660">
        <v>186590</v>
      </c>
    </row>
    <row r="661" spans="1:4" x14ac:dyDescent="0.25">
      <c r="A661" t="str">
        <f>T("   CM")</f>
        <v xml:space="preserve">   CM</v>
      </c>
      <c r="B661" t="str">
        <f>T("   Cameroun")</f>
        <v xml:space="preserve">   Cameroun</v>
      </c>
      <c r="C661">
        <v>358711920</v>
      </c>
      <c r="D661">
        <v>187680</v>
      </c>
    </row>
    <row r="662" spans="1:4" x14ac:dyDescent="0.25">
      <c r="A662" t="str">
        <f>T("   GH")</f>
        <v xml:space="preserve">   GH</v>
      </c>
      <c r="B662" t="str">
        <f>T("   Ghana")</f>
        <v xml:space="preserve">   Ghana</v>
      </c>
      <c r="C662">
        <v>396566847</v>
      </c>
      <c r="D662">
        <v>184288</v>
      </c>
    </row>
    <row r="663" spans="1:4" x14ac:dyDescent="0.25">
      <c r="A663" t="str">
        <f>T("   NE")</f>
        <v xml:space="preserve">   NE</v>
      </c>
      <c r="B663" t="str">
        <f>T("   Niger")</f>
        <v xml:space="preserve">   Niger</v>
      </c>
      <c r="C663">
        <v>612855040</v>
      </c>
      <c r="D663">
        <v>341428</v>
      </c>
    </row>
    <row r="664" spans="1:4" x14ac:dyDescent="0.25">
      <c r="A664" t="str">
        <f>T("   NG")</f>
        <v xml:space="preserve">   NG</v>
      </c>
      <c r="B664" t="str">
        <f>T("   Nigéria")</f>
        <v xml:space="preserve">   Nigéria</v>
      </c>
      <c r="C664">
        <v>489271177</v>
      </c>
      <c r="D664">
        <v>222480</v>
      </c>
    </row>
    <row r="665" spans="1:4" x14ac:dyDescent="0.25">
      <c r="A665" t="str">
        <f>T("   SN")</f>
        <v xml:space="preserve">   SN</v>
      </c>
      <c r="B665" t="str">
        <f>T("   Sénégal")</f>
        <v xml:space="preserve">   Sénégal</v>
      </c>
      <c r="C665">
        <v>24142087</v>
      </c>
      <c r="D665">
        <v>13200</v>
      </c>
    </row>
    <row r="666" spans="1:4" x14ac:dyDescent="0.25">
      <c r="A666" t="str">
        <f>T("   TG")</f>
        <v xml:space="preserve">   TG</v>
      </c>
      <c r="B666" t="str">
        <f>T("   Togo")</f>
        <v xml:space="preserve">   Togo</v>
      </c>
      <c r="C666">
        <v>21848400</v>
      </c>
      <c r="D666">
        <v>13071</v>
      </c>
    </row>
    <row r="667" spans="1:4" x14ac:dyDescent="0.25">
      <c r="A667" t="str">
        <f>T("520852")</f>
        <v>520852</v>
      </c>
      <c r="B667" t="str">
        <f>T("Tissus de coton, imprimés, à armure toile, contenant &gt;= 85% en poids de coton, d'un poids &gt; 100 g/m² mais &lt;= 200 g/m²")</f>
        <v>Tissus de coton, imprimés, à armure toile, contenant &gt;= 85% en poids de coton, d'un poids &gt; 100 g/m² mais &lt;= 200 g/m²</v>
      </c>
    </row>
    <row r="668" spans="1:4" x14ac:dyDescent="0.25">
      <c r="A668" t="str">
        <f>T("   ZZZ_Monde")</f>
        <v xml:space="preserve">   ZZZ_Monde</v>
      </c>
      <c r="B668" t="str">
        <f>T("   ZZZ_Monde")</f>
        <v xml:space="preserve">   ZZZ_Monde</v>
      </c>
      <c r="C668">
        <v>31596667</v>
      </c>
      <c r="D668">
        <v>40181</v>
      </c>
    </row>
    <row r="669" spans="1:4" x14ac:dyDescent="0.25">
      <c r="A669" t="str">
        <f>T("   CD")</f>
        <v xml:space="preserve">   CD</v>
      </c>
      <c r="B669" t="str">
        <f>T("   Congo, République Démocratique")</f>
        <v xml:space="preserve">   Congo, République Démocratique</v>
      </c>
      <c r="C669">
        <v>14596152</v>
      </c>
      <c r="D669">
        <v>20000</v>
      </c>
    </row>
    <row r="670" spans="1:4" x14ac:dyDescent="0.25">
      <c r="A670" t="str">
        <f>T("   TZ")</f>
        <v xml:space="preserve">   TZ</v>
      </c>
      <c r="B670" t="str">
        <f>T("   Tanzanie")</f>
        <v xml:space="preserve">   Tanzanie</v>
      </c>
      <c r="C670">
        <v>17000515</v>
      </c>
      <c r="D670">
        <v>20181</v>
      </c>
    </row>
    <row r="671" spans="1:4" x14ac:dyDescent="0.25">
      <c r="A671" t="str">
        <f>T("521029")</f>
        <v>521029</v>
      </c>
      <c r="B671" t="str">
        <f>T("Tissus de coton, blanchis, contenant en prédominance, mais &lt; 85% en poids de coton, mélangés principalement ou uniquement avec des fibres synthétiques ou artificielles, d'un poids &lt;= 200 g/m² (à l'excl. des tissus à armure toile ou à armure sergé [y.c. le")</f>
        <v>Tissus de coton, blanchis, contenant en prédominance, mais &lt; 85% en poids de coton, mélangés principalement ou uniquement avec des fibres synthétiques ou artificielles, d'un poids &lt;= 200 g/m² (à l'excl. des tissus à armure toile ou à armure sergé [y.c. le</v>
      </c>
    </row>
    <row r="672" spans="1:4" x14ac:dyDescent="0.25">
      <c r="A672" t="str">
        <f>T("   ZZZ_Monde")</f>
        <v xml:space="preserve">   ZZZ_Monde</v>
      </c>
      <c r="B672" t="str">
        <f>T("   ZZZ_Monde")</f>
        <v xml:space="preserve">   ZZZ_Monde</v>
      </c>
      <c r="C672">
        <v>71110200</v>
      </c>
      <c r="D672">
        <v>41711</v>
      </c>
    </row>
    <row r="673" spans="1:4" x14ac:dyDescent="0.25">
      <c r="A673" t="str">
        <f>T("   CI")</f>
        <v xml:space="preserve">   CI</v>
      </c>
      <c r="B673" t="str">
        <f>T("   Côte d'Ivoire")</f>
        <v xml:space="preserve">   Côte d'Ivoire</v>
      </c>
      <c r="C673">
        <v>71110200</v>
      </c>
      <c r="D673">
        <v>41711</v>
      </c>
    </row>
    <row r="674" spans="1:4" x14ac:dyDescent="0.25">
      <c r="A674" t="str">
        <f>T("521211")</f>
        <v>521211</v>
      </c>
      <c r="B674" t="str">
        <f>T("Tissus de coton, écrus, contenant en prédominance, mais &lt; 85% en poids de coton, autres que mélangés principalement ou uniquement avec des fibres synthétiques ou artificielles, d'un poids &lt;= 200 g/m²")</f>
        <v>Tissus de coton, écrus, contenant en prédominance, mais &lt; 85% en poids de coton, autres que mélangés principalement ou uniquement avec des fibres synthétiques ou artificielles, d'un poids &lt;= 200 g/m²</v>
      </c>
    </row>
    <row r="675" spans="1:4" x14ac:dyDescent="0.25">
      <c r="A675" t="str">
        <f>T("   ZZZ_Monde")</f>
        <v xml:space="preserve">   ZZZ_Monde</v>
      </c>
      <c r="B675" t="str">
        <f>T("   ZZZ_Monde")</f>
        <v xml:space="preserve">   ZZZ_Monde</v>
      </c>
      <c r="C675">
        <v>478236360</v>
      </c>
      <c r="D675">
        <v>272320</v>
      </c>
    </row>
    <row r="676" spans="1:4" x14ac:dyDescent="0.25">
      <c r="A676" t="str">
        <f>T("   CM")</f>
        <v xml:space="preserve">   CM</v>
      </c>
      <c r="B676" t="str">
        <f>T("   Cameroun")</f>
        <v xml:space="preserve">   Cameroun</v>
      </c>
      <c r="C676">
        <v>478236360</v>
      </c>
      <c r="D676">
        <v>272320</v>
      </c>
    </row>
    <row r="677" spans="1:4" x14ac:dyDescent="0.25">
      <c r="A677" t="str">
        <f>T("540794")</f>
        <v>540794</v>
      </c>
      <c r="B677" t="str">
        <f>T("Tissus imprimés, obtenus à partir de fils de filaments synthétiques contenant en prédominance, mais &lt; 85% en poids de ces filaments, y.c. les tissus obtenus à partir des monofilaments du n° 5404 (à l'excl. des tissus mélangés principalement ou uniquement")</f>
        <v>Tissus imprimés, obtenus à partir de fils de filaments synthétiques contenant en prédominance, mais &lt; 85% en poids de ces filaments, y.c. les tissus obtenus à partir des monofilaments du n° 5404 (à l'excl. des tissus mélangés principalement ou uniquement</v>
      </c>
    </row>
    <row r="678" spans="1:4" x14ac:dyDescent="0.25">
      <c r="A678" t="str">
        <f>T("   ZZZ_Monde")</f>
        <v xml:space="preserve">   ZZZ_Monde</v>
      </c>
      <c r="B678" t="str">
        <f>T("   ZZZ_Monde")</f>
        <v xml:space="preserve">   ZZZ_Monde</v>
      </c>
      <c r="C678">
        <v>7540000</v>
      </c>
      <c r="D678">
        <v>2422.6999999999998</v>
      </c>
    </row>
    <row r="679" spans="1:4" x14ac:dyDescent="0.25">
      <c r="A679" t="str">
        <f>T("   GH")</f>
        <v xml:space="preserve">   GH</v>
      </c>
      <c r="B679" t="str">
        <f>T("   Ghana")</f>
        <v xml:space="preserve">   Ghana</v>
      </c>
      <c r="C679">
        <v>7540000</v>
      </c>
      <c r="D679">
        <v>2422.6999999999998</v>
      </c>
    </row>
    <row r="680" spans="1:4" x14ac:dyDescent="0.25">
      <c r="A680" t="str">
        <f>T("570110")</f>
        <v>570110</v>
      </c>
      <c r="B680" t="str">
        <f>T("Tapis de laine ou de poils fins, à points noués ou enroulés, même confectionnés")</f>
        <v>Tapis de laine ou de poils fins, à points noués ou enroulés, même confectionnés</v>
      </c>
    </row>
    <row r="681" spans="1:4" x14ac:dyDescent="0.25">
      <c r="A681" t="str">
        <f>T("   ZZZ_Monde")</f>
        <v xml:space="preserve">   ZZZ_Monde</v>
      </c>
      <c r="B681" t="str">
        <f>T("   ZZZ_Monde")</f>
        <v xml:space="preserve">   ZZZ_Monde</v>
      </c>
      <c r="C681">
        <v>93223</v>
      </c>
      <c r="D681">
        <v>860</v>
      </c>
    </row>
    <row r="682" spans="1:4" x14ac:dyDescent="0.25">
      <c r="A682" t="str">
        <f>T("   NL")</f>
        <v xml:space="preserve">   NL</v>
      </c>
      <c r="B682" t="str">
        <f>T("   Pays-bas")</f>
        <v xml:space="preserve">   Pays-bas</v>
      </c>
      <c r="C682">
        <v>93223</v>
      </c>
      <c r="D682">
        <v>860</v>
      </c>
    </row>
    <row r="683" spans="1:4" x14ac:dyDescent="0.25">
      <c r="A683" t="str">
        <f>T("570390")</f>
        <v>570390</v>
      </c>
      <c r="B683" t="str">
        <f>T("Tapis et autres revêtements de sol, de matières textiles végétales ou de poils grossiers, touffetés, même confectionnés")</f>
        <v>Tapis et autres revêtements de sol, de matières textiles végétales ou de poils grossiers, touffetés, même confectionnés</v>
      </c>
    </row>
    <row r="684" spans="1:4" x14ac:dyDescent="0.25">
      <c r="A684" t="str">
        <f>T("   ZZZ_Monde")</f>
        <v xml:space="preserve">   ZZZ_Monde</v>
      </c>
      <c r="B684" t="str">
        <f>T("   ZZZ_Monde")</f>
        <v xml:space="preserve">   ZZZ_Monde</v>
      </c>
      <c r="C684">
        <v>11123796</v>
      </c>
      <c r="D684">
        <v>633</v>
      </c>
    </row>
    <row r="685" spans="1:4" x14ac:dyDescent="0.25">
      <c r="A685" t="str">
        <f>T("   IN")</f>
        <v xml:space="preserve">   IN</v>
      </c>
      <c r="B685" t="str">
        <f>T("   Inde")</f>
        <v xml:space="preserve">   Inde</v>
      </c>
      <c r="C685">
        <v>11123796</v>
      </c>
      <c r="D685">
        <v>633</v>
      </c>
    </row>
    <row r="686" spans="1:4" x14ac:dyDescent="0.25">
      <c r="A686" t="str">
        <f>T("581100")</f>
        <v>581100</v>
      </c>
      <c r="B686" t="str">
        <f>T("PRODUITS TEXTILES MATELASSÉS EN PIÈCES, CONSTITUÉS D'UNE OU PLUSIEURS COUCHES DE MATIÈRES TEXTILES ASSOCIÉES À UNE MATIÈRE DE REMBOURRAGE PAR PIQ¹RE, CAPITONNAGE OU AUTRE CLOISONNEMENT (À L'EXCL. DES BRODERIES DU N° 5810 AINSI QUE DES ARTICLES DE LITERIE")</f>
        <v>PRODUITS TEXTILES MATELASSÉS EN PIÈCES, CONSTITUÉS D'UNE OU PLUSIEURS COUCHES DE MATIÈRES TEXTILES ASSOCIÉES À UNE MATIÈRE DE REMBOURRAGE PAR PIQ¹RE, CAPITONNAGE OU AUTRE CLOISONNEMENT (À L'EXCL. DES BRODERIES DU N° 5810 AINSI QUE DES ARTICLES DE LITERIE</v>
      </c>
    </row>
    <row r="687" spans="1:4" x14ac:dyDescent="0.25">
      <c r="A687" t="str">
        <f>T("   ZZZ_Monde")</f>
        <v xml:space="preserve">   ZZZ_Monde</v>
      </c>
      <c r="B687" t="str">
        <f>T("   ZZZ_Monde")</f>
        <v xml:space="preserve">   ZZZ_Monde</v>
      </c>
      <c r="C687">
        <v>737500</v>
      </c>
      <c r="D687">
        <v>143</v>
      </c>
    </row>
    <row r="688" spans="1:4" x14ac:dyDescent="0.25">
      <c r="A688" t="str">
        <f>T("   GH")</f>
        <v xml:space="preserve">   GH</v>
      </c>
      <c r="B688" t="str">
        <f>T("   Ghana")</f>
        <v xml:space="preserve">   Ghana</v>
      </c>
      <c r="C688">
        <v>737500</v>
      </c>
      <c r="D688">
        <v>143</v>
      </c>
    </row>
    <row r="689" spans="1:4" x14ac:dyDescent="0.25">
      <c r="A689" t="str">
        <f>T("611300")</f>
        <v>611300</v>
      </c>
      <c r="B689" t="str">
        <f>T("Vêtements confectionnés en étoffes de bonneterie caoutchoutées ou imprégnées, enduites ou recouvertes de matière plastique ou d'autres substances (sauf vêtements pour bébés et accessoires du vêtement)")</f>
        <v>Vêtements confectionnés en étoffes de bonneterie caoutchoutées ou imprégnées, enduites ou recouvertes de matière plastique ou d'autres substances (sauf vêtements pour bébés et accessoires du vêtement)</v>
      </c>
    </row>
    <row r="690" spans="1:4" x14ac:dyDescent="0.25">
      <c r="A690" t="str">
        <f>T("   ZZZ_Monde")</f>
        <v xml:space="preserve">   ZZZ_Monde</v>
      </c>
      <c r="B690" t="str">
        <f>T("   ZZZ_Monde")</f>
        <v xml:space="preserve">   ZZZ_Monde</v>
      </c>
      <c r="C690">
        <v>500000</v>
      </c>
      <c r="D690">
        <v>50</v>
      </c>
    </row>
    <row r="691" spans="1:4" x14ac:dyDescent="0.25">
      <c r="A691" t="str">
        <f>T("   FR")</f>
        <v xml:space="preserve">   FR</v>
      </c>
      <c r="B691" t="str">
        <f>T("   France")</f>
        <v xml:space="preserve">   France</v>
      </c>
      <c r="C691">
        <v>500000</v>
      </c>
      <c r="D691">
        <v>50</v>
      </c>
    </row>
    <row r="692" spans="1:4" x14ac:dyDescent="0.25">
      <c r="A692" t="str">
        <f>T("620319")</f>
        <v>620319</v>
      </c>
      <c r="B692" t="str">
        <f>T("Costumes ou complets, de matières textiles, pour hommes ou garçonnets (autres que laine, poils fins ou fibres synthétiques, autres qu'en bonneterie et sauf survêtements de sport 'trainings', combinaisons et ensembles de ski, maillots, culottes et slips de")</f>
        <v>Costumes ou complets, de matières textiles, pour hommes ou garçonnets (autres que laine, poils fins ou fibres synthétiques, autres qu'en bonneterie et sauf survêtements de sport 'trainings', combinaisons et ensembles de ski, maillots, culottes et slips de</v>
      </c>
    </row>
    <row r="693" spans="1:4" x14ac:dyDescent="0.25">
      <c r="A693" t="str">
        <f>T("   ZZZ_Monde")</f>
        <v xml:space="preserve">   ZZZ_Monde</v>
      </c>
      <c r="B693" t="str">
        <f>T("   ZZZ_Monde")</f>
        <v xml:space="preserve">   ZZZ_Monde</v>
      </c>
      <c r="C693">
        <v>16344136</v>
      </c>
      <c r="D693">
        <v>5000</v>
      </c>
    </row>
    <row r="694" spans="1:4" x14ac:dyDescent="0.25">
      <c r="A694" t="str">
        <f>T("   FR")</f>
        <v xml:space="preserve">   FR</v>
      </c>
      <c r="B694" t="str">
        <f>T("   France")</f>
        <v xml:space="preserve">   France</v>
      </c>
      <c r="C694">
        <v>16344136</v>
      </c>
      <c r="D694">
        <v>5000</v>
      </c>
    </row>
    <row r="695" spans="1:4" x14ac:dyDescent="0.25">
      <c r="A695" t="str">
        <f>T("620329")</f>
        <v>620329</v>
      </c>
      <c r="B695" t="str">
        <f>T("ENSEMBLES DE MATIÈRES TEXTILES, POUR HOMMES OU GARÇONNETS (AUTRES QUE DE COTON OU FIBRES SYNTHÉTIQUES, AUTRES QU'EN BONNETERIE ET SAUF ENSEMBLES DE SKI ET MAILLOTS, CULOTTES ET SLIPS DE BAIN)")</f>
        <v>ENSEMBLES DE MATIÈRES TEXTILES, POUR HOMMES OU GARÇONNETS (AUTRES QUE DE COTON OU FIBRES SYNTHÉTIQUES, AUTRES QU'EN BONNETERIE ET SAUF ENSEMBLES DE SKI ET MAILLOTS, CULOTTES ET SLIPS DE BAIN)</v>
      </c>
    </row>
    <row r="696" spans="1:4" x14ac:dyDescent="0.25">
      <c r="A696" t="str">
        <f>T("   ZZZ_Monde")</f>
        <v xml:space="preserve">   ZZZ_Monde</v>
      </c>
      <c r="B696" t="str">
        <f>T("   ZZZ_Monde")</f>
        <v xml:space="preserve">   ZZZ_Monde</v>
      </c>
      <c r="C696">
        <v>21993467</v>
      </c>
      <c r="D696">
        <v>7607</v>
      </c>
    </row>
    <row r="697" spans="1:4" x14ac:dyDescent="0.25">
      <c r="A697" t="str">
        <f>T("   LR")</f>
        <v xml:space="preserve">   LR</v>
      </c>
      <c r="B697" t="str">
        <f>T("   Libéria")</f>
        <v xml:space="preserve">   Libéria</v>
      </c>
      <c r="C697">
        <v>1198375</v>
      </c>
      <c r="D697">
        <v>2060</v>
      </c>
    </row>
    <row r="698" spans="1:4" x14ac:dyDescent="0.25">
      <c r="A698" t="str">
        <f>T("   NE")</f>
        <v xml:space="preserve">   NE</v>
      </c>
      <c r="B698" t="str">
        <f>T("   Niger")</f>
        <v xml:space="preserve">   Niger</v>
      </c>
      <c r="C698">
        <v>4201452</v>
      </c>
      <c r="D698">
        <v>282</v>
      </c>
    </row>
    <row r="699" spans="1:4" x14ac:dyDescent="0.25">
      <c r="A699" t="str">
        <f>T("   SN")</f>
        <v xml:space="preserve">   SN</v>
      </c>
      <c r="B699" t="str">
        <f>T("   Sénégal")</f>
        <v xml:space="preserve">   Sénégal</v>
      </c>
      <c r="C699">
        <v>1500000</v>
      </c>
      <c r="D699">
        <v>3730</v>
      </c>
    </row>
    <row r="700" spans="1:4" x14ac:dyDescent="0.25">
      <c r="A700" t="str">
        <f>T("   TZ")</f>
        <v xml:space="preserve">   TZ</v>
      </c>
      <c r="B700" t="str">
        <f>T("   Tanzanie")</f>
        <v xml:space="preserve">   Tanzanie</v>
      </c>
      <c r="C700">
        <v>15093640</v>
      </c>
      <c r="D700">
        <v>1535</v>
      </c>
    </row>
    <row r="701" spans="1:4" x14ac:dyDescent="0.25">
      <c r="A701" t="str">
        <f>T("620469")</f>
        <v>620469</v>
      </c>
      <c r="B701" t="str">
        <f>T("Pantalons, y.c. knickers et pantalons simil., salopettes à bretelles, culottes et shorts, de matières textiles, pour femmes ou fillettes (autres que de laine, poils fins, coton, fibres synthétiques ou artificielles, autres qu'en bonneterie et sauf slips e")</f>
        <v>Pantalons, y.c. knickers et pantalons simil., salopettes à bretelles, culottes et shorts, de matières textiles, pour femmes ou fillettes (autres que de laine, poils fins, coton, fibres synthétiques ou artificielles, autres qu'en bonneterie et sauf slips e</v>
      </c>
    </row>
    <row r="702" spans="1:4" x14ac:dyDescent="0.25">
      <c r="A702" t="str">
        <f>T("   ZZZ_Monde")</f>
        <v xml:space="preserve">   ZZZ_Monde</v>
      </c>
      <c r="B702" t="str">
        <f>T("   ZZZ_Monde")</f>
        <v xml:space="preserve">   ZZZ_Monde</v>
      </c>
      <c r="C702">
        <v>5313912</v>
      </c>
      <c r="D702">
        <v>80</v>
      </c>
    </row>
    <row r="703" spans="1:4" x14ac:dyDescent="0.25">
      <c r="A703" t="str">
        <f>T("   TG")</f>
        <v xml:space="preserve">   TG</v>
      </c>
      <c r="B703" t="str">
        <f>T("   Togo")</f>
        <v xml:space="preserve">   Togo</v>
      </c>
      <c r="C703">
        <v>5313912</v>
      </c>
      <c r="D703">
        <v>80</v>
      </c>
    </row>
    <row r="704" spans="1:4" x14ac:dyDescent="0.25">
      <c r="A704" t="str">
        <f>T("620590")</f>
        <v>620590</v>
      </c>
      <c r="B704" t="str">
        <f>T("CHEMISES ET CHEMISETTES, DE MATIÈRES TEXTILES, POUR HOMMES OU GARÇONNETS (AUTRES QUE DE COTON, FIBRES SYNTHÉTIQUES OU ARTIFICIELLES, AUTRES QU'EN BONNETERIE ET SAUF CHEMISES DE NUIT ET GILETS DE CORPS)")</f>
        <v>CHEMISES ET CHEMISETTES, DE MATIÈRES TEXTILES, POUR HOMMES OU GARÇONNETS (AUTRES QUE DE COTON, FIBRES SYNTHÉTIQUES OU ARTIFICIELLES, AUTRES QU'EN BONNETERIE ET SAUF CHEMISES DE NUIT ET GILETS DE CORPS)</v>
      </c>
    </row>
    <row r="705" spans="1:4" x14ac:dyDescent="0.25">
      <c r="A705" t="str">
        <f>T("   ZZZ_Monde")</f>
        <v xml:space="preserve">   ZZZ_Monde</v>
      </c>
      <c r="B705" t="str">
        <f>T("   ZZZ_Monde")</f>
        <v xml:space="preserve">   ZZZ_Monde</v>
      </c>
      <c r="C705">
        <v>24232444</v>
      </c>
      <c r="D705">
        <v>26860</v>
      </c>
    </row>
    <row r="706" spans="1:4" x14ac:dyDescent="0.25">
      <c r="A706" t="str">
        <f>T("   AR")</f>
        <v xml:space="preserve">   AR</v>
      </c>
      <c r="B706" t="str">
        <f>T("   Argentine")</f>
        <v xml:space="preserve">   Argentine</v>
      </c>
      <c r="C706">
        <v>550000</v>
      </c>
      <c r="D706">
        <v>800</v>
      </c>
    </row>
    <row r="707" spans="1:4" x14ac:dyDescent="0.25">
      <c r="A707" t="str">
        <f>T("   BE")</f>
        <v xml:space="preserve">   BE</v>
      </c>
      <c r="B707" t="str">
        <f>T("   Belgique")</f>
        <v xml:space="preserve">   Belgique</v>
      </c>
      <c r="C707">
        <v>1100000</v>
      </c>
      <c r="D707">
        <v>1300</v>
      </c>
    </row>
    <row r="708" spans="1:4" x14ac:dyDescent="0.25">
      <c r="A708" t="str">
        <f>T("   BF")</f>
        <v xml:space="preserve">   BF</v>
      </c>
      <c r="B708" t="str">
        <f>T("   Burkina Faso")</f>
        <v xml:space="preserve">   Burkina Faso</v>
      </c>
      <c r="C708">
        <v>800000</v>
      </c>
      <c r="D708">
        <v>400</v>
      </c>
    </row>
    <row r="709" spans="1:4" x14ac:dyDescent="0.25">
      <c r="A709" t="str">
        <f>T("   CA")</f>
        <v xml:space="preserve">   CA</v>
      </c>
      <c r="B709" t="str">
        <f>T("   Canada")</f>
        <v xml:space="preserve">   Canada</v>
      </c>
      <c r="C709">
        <v>450000</v>
      </c>
      <c r="D709">
        <v>800</v>
      </c>
    </row>
    <row r="710" spans="1:4" x14ac:dyDescent="0.25">
      <c r="A710" t="str">
        <f>T("   CD")</f>
        <v xml:space="preserve">   CD</v>
      </c>
      <c r="B710" t="str">
        <f>T("   Congo, République Démocratique")</f>
        <v xml:space="preserve">   Congo, République Démocratique</v>
      </c>
      <c r="C710">
        <v>400000</v>
      </c>
      <c r="D710">
        <v>600</v>
      </c>
    </row>
    <row r="711" spans="1:4" x14ac:dyDescent="0.25">
      <c r="A711" t="str">
        <f>T("   CF")</f>
        <v xml:space="preserve">   CF</v>
      </c>
      <c r="B711" t="str">
        <f>T("   Centrafricaine, République")</f>
        <v xml:space="preserve">   Centrafricaine, République</v>
      </c>
      <c r="C711">
        <v>500000</v>
      </c>
      <c r="D711">
        <v>600</v>
      </c>
    </row>
    <row r="712" spans="1:4" x14ac:dyDescent="0.25">
      <c r="A712" t="str">
        <f>T("   CG")</f>
        <v xml:space="preserve">   CG</v>
      </c>
      <c r="B712" t="str">
        <f>T("   Congo (Brazzaville)")</f>
        <v xml:space="preserve">   Congo (Brazzaville)</v>
      </c>
      <c r="C712">
        <v>400000</v>
      </c>
      <c r="D712">
        <v>800</v>
      </c>
    </row>
    <row r="713" spans="1:4" x14ac:dyDescent="0.25">
      <c r="A713" t="str">
        <f>T("   CI")</f>
        <v xml:space="preserve">   CI</v>
      </c>
      <c r="B713" t="str">
        <f>T("   Côte d'Ivoire")</f>
        <v xml:space="preserve">   Côte d'Ivoire</v>
      </c>
      <c r="C713">
        <v>950000</v>
      </c>
      <c r="D713">
        <v>1300</v>
      </c>
    </row>
    <row r="714" spans="1:4" x14ac:dyDescent="0.25">
      <c r="A714" t="str">
        <f>T("   CM")</f>
        <v xml:space="preserve">   CM</v>
      </c>
      <c r="B714" t="str">
        <f>T("   Cameroun")</f>
        <v xml:space="preserve">   Cameroun</v>
      </c>
      <c r="C714">
        <v>400000</v>
      </c>
      <c r="D714">
        <v>100</v>
      </c>
    </row>
    <row r="715" spans="1:4" x14ac:dyDescent="0.25">
      <c r="A715" t="str">
        <f>T("   DE")</f>
        <v xml:space="preserve">   DE</v>
      </c>
      <c r="B715" t="str">
        <f>T("   Allemagne")</f>
        <v xml:space="preserve">   Allemagne</v>
      </c>
      <c r="C715">
        <v>800000</v>
      </c>
      <c r="D715">
        <v>1100</v>
      </c>
    </row>
    <row r="716" spans="1:4" x14ac:dyDescent="0.25">
      <c r="A716" t="str">
        <f>T("   DK")</f>
        <v xml:space="preserve">   DK</v>
      </c>
      <c r="B716" t="str">
        <f>T("   Danemark")</f>
        <v xml:space="preserve">   Danemark</v>
      </c>
      <c r="C716">
        <v>1000000</v>
      </c>
      <c r="D716">
        <v>900</v>
      </c>
    </row>
    <row r="717" spans="1:4" x14ac:dyDescent="0.25">
      <c r="A717" t="str">
        <f>T("   FR")</f>
        <v xml:space="preserve">   FR</v>
      </c>
      <c r="B717" t="str">
        <f>T("   France")</f>
        <v xml:space="preserve">   France</v>
      </c>
      <c r="C717">
        <v>5550000</v>
      </c>
      <c r="D717">
        <v>7100</v>
      </c>
    </row>
    <row r="718" spans="1:4" x14ac:dyDescent="0.25">
      <c r="A718" t="str">
        <f>T("   GH")</f>
        <v xml:space="preserve">   GH</v>
      </c>
      <c r="B718" t="str">
        <f>T("   Ghana")</f>
        <v xml:space="preserve">   Ghana</v>
      </c>
      <c r="C718">
        <v>450000</v>
      </c>
      <c r="D718">
        <v>400</v>
      </c>
    </row>
    <row r="719" spans="1:4" x14ac:dyDescent="0.25">
      <c r="A719" t="str">
        <f>T("   GN")</f>
        <v xml:space="preserve">   GN</v>
      </c>
      <c r="B719" t="str">
        <f>T("   Guinée")</f>
        <v xml:space="preserve">   Guinée</v>
      </c>
      <c r="C719">
        <v>500000</v>
      </c>
      <c r="D719">
        <v>500</v>
      </c>
    </row>
    <row r="720" spans="1:4" x14ac:dyDescent="0.25">
      <c r="A720" t="str">
        <f>T("   HT")</f>
        <v xml:space="preserve">   HT</v>
      </c>
      <c r="B720" t="str">
        <f>T("   Haïti")</f>
        <v xml:space="preserve">   Haïti</v>
      </c>
      <c r="C720">
        <v>2032444</v>
      </c>
      <c r="D720">
        <v>710</v>
      </c>
    </row>
    <row r="721" spans="1:4" x14ac:dyDescent="0.25">
      <c r="A721" t="str">
        <f>T("   ML")</f>
        <v xml:space="preserve">   ML</v>
      </c>
      <c r="B721" t="str">
        <f>T("   Mali")</f>
        <v xml:space="preserve">   Mali</v>
      </c>
      <c r="C721">
        <v>400000</v>
      </c>
      <c r="D721">
        <v>300</v>
      </c>
    </row>
    <row r="722" spans="1:4" x14ac:dyDescent="0.25">
      <c r="A722" t="str">
        <f>T("   MZ")</f>
        <v xml:space="preserve">   MZ</v>
      </c>
      <c r="B722" t="str">
        <f>T("   Mozambique")</f>
        <v xml:space="preserve">   Mozambique</v>
      </c>
      <c r="C722">
        <v>600000</v>
      </c>
      <c r="D722">
        <v>600</v>
      </c>
    </row>
    <row r="723" spans="1:4" x14ac:dyDescent="0.25">
      <c r="A723" t="str">
        <f>T("   NL")</f>
        <v xml:space="preserve">   NL</v>
      </c>
      <c r="B723" t="str">
        <f>T("   Pays-bas")</f>
        <v xml:space="preserve">   Pays-bas</v>
      </c>
      <c r="C723">
        <v>1350000</v>
      </c>
      <c r="D723">
        <v>1800</v>
      </c>
    </row>
    <row r="724" spans="1:4" x14ac:dyDescent="0.25">
      <c r="A724" t="str">
        <f>T("   RW")</f>
        <v xml:space="preserve">   RW</v>
      </c>
      <c r="B724" t="str">
        <f>T("   Rwanda")</f>
        <v xml:space="preserve">   Rwanda</v>
      </c>
      <c r="C724">
        <v>1200000</v>
      </c>
      <c r="D724">
        <v>1100</v>
      </c>
    </row>
    <row r="725" spans="1:4" x14ac:dyDescent="0.25">
      <c r="A725" t="str">
        <f>T("   SN")</f>
        <v xml:space="preserve">   SN</v>
      </c>
      <c r="B725" t="str">
        <f>T("   Sénégal")</f>
        <v xml:space="preserve">   Sénégal</v>
      </c>
      <c r="C725">
        <v>2200000</v>
      </c>
      <c r="D725">
        <v>2400</v>
      </c>
    </row>
    <row r="726" spans="1:4" x14ac:dyDescent="0.25">
      <c r="A726" t="str">
        <f>T("   TZ")</f>
        <v xml:space="preserve">   TZ</v>
      </c>
      <c r="B726" t="str">
        <f>T("   Tanzanie")</f>
        <v xml:space="preserve">   Tanzanie</v>
      </c>
      <c r="C726">
        <v>500000</v>
      </c>
      <c r="D726">
        <v>900</v>
      </c>
    </row>
    <row r="727" spans="1:4" x14ac:dyDescent="0.25">
      <c r="A727" t="str">
        <f>T("   US")</f>
        <v xml:space="preserve">   US</v>
      </c>
      <c r="B727" t="str">
        <f>T("   Etats-Unis")</f>
        <v xml:space="preserve">   Etats-Unis</v>
      </c>
      <c r="C727">
        <v>1300000</v>
      </c>
      <c r="D727">
        <v>1800</v>
      </c>
    </row>
    <row r="728" spans="1:4" x14ac:dyDescent="0.25">
      <c r="A728" t="str">
        <f>T("   ZA")</f>
        <v xml:space="preserve">   ZA</v>
      </c>
      <c r="B728" t="str">
        <f>T("   Afrique du Sud")</f>
        <v xml:space="preserve">   Afrique du Sud</v>
      </c>
      <c r="C728">
        <v>800000</v>
      </c>
      <c r="D728">
        <v>550</v>
      </c>
    </row>
    <row r="729" spans="1:4" x14ac:dyDescent="0.25">
      <c r="A729" t="str">
        <f>T("620690")</f>
        <v>620690</v>
      </c>
      <c r="B729" t="str">
        <f>T("Chemisiers, blouses, blouses-chemisiers et chemisettes, de matières textiles, pour femmes ou fillettes (autres que de laine, poils fins, coton, fibres synthétiques ou artificielles, soie et déchets de soie, autres qu'en bonneterie et sauf gilets de corps")</f>
        <v>Chemisiers, blouses, blouses-chemisiers et chemisettes, de matières textiles, pour femmes ou fillettes (autres que de laine, poils fins, coton, fibres synthétiques ou artificielles, soie et déchets de soie, autres qu'en bonneterie et sauf gilets de corps</v>
      </c>
    </row>
    <row r="730" spans="1:4" x14ac:dyDescent="0.25">
      <c r="A730" t="str">
        <f>T("   ZZZ_Monde")</f>
        <v xml:space="preserve">   ZZZ_Monde</v>
      </c>
      <c r="B730" t="str">
        <f>T("   ZZZ_Monde")</f>
        <v xml:space="preserve">   ZZZ_Monde</v>
      </c>
      <c r="C730">
        <v>300000</v>
      </c>
      <c r="D730">
        <v>500</v>
      </c>
    </row>
    <row r="731" spans="1:4" x14ac:dyDescent="0.25">
      <c r="A731" t="str">
        <f>T("   DE")</f>
        <v xml:space="preserve">   DE</v>
      </c>
      <c r="B731" t="str">
        <f>T("   Allemagne")</f>
        <v xml:space="preserve">   Allemagne</v>
      </c>
      <c r="C731">
        <v>300000</v>
      </c>
      <c r="D731">
        <v>500</v>
      </c>
    </row>
    <row r="732" spans="1:4" x14ac:dyDescent="0.25">
      <c r="A732" t="str">
        <f>T("620799")</f>
        <v>620799</v>
      </c>
      <c r="B732" t="str">
        <f>T("GILETS DE CORPS, PEIGNOIRS DE BAIN, ROBES DE CHAMBRE ET ARTICLES SIMIL., DE MATIÈRES TEXTILES, POUR HOMMES OU GARÇONNETS (AUTRES QUE DE COTON ET AUTRES QU'EN BONNETERIE ET SAUF SLIPS ET CALEÇONS, CHEMISES DE NUIT ET PYJAMAS)")</f>
        <v>GILETS DE CORPS, PEIGNOIRS DE BAIN, ROBES DE CHAMBRE ET ARTICLES SIMIL., DE MATIÈRES TEXTILES, POUR HOMMES OU GARÇONNETS (AUTRES QUE DE COTON ET AUTRES QU'EN BONNETERIE ET SAUF SLIPS ET CALEÇONS, CHEMISES DE NUIT ET PYJAMAS)</v>
      </c>
    </row>
    <row r="733" spans="1:4" x14ac:dyDescent="0.25">
      <c r="A733" t="str">
        <f>T("   ZZZ_Monde")</f>
        <v xml:space="preserve">   ZZZ_Monde</v>
      </c>
      <c r="B733" t="str">
        <f>T("   ZZZ_Monde")</f>
        <v xml:space="preserve">   ZZZ_Monde</v>
      </c>
      <c r="C733">
        <v>759770</v>
      </c>
      <c r="D733">
        <v>3327</v>
      </c>
    </row>
    <row r="734" spans="1:4" x14ac:dyDescent="0.25">
      <c r="A734" t="str">
        <f>T("   GN")</f>
        <v xml:space="preserve">   GN</v>
      </c>
      <c r="B734" t="str">
        <f>T("   Guinée")</f>
        <v xml:space="preserve">   Guinée</v>
      </c>
      <c r="C734">
        <v>759770</v>
      </c>
      <c r="D734">
        <v>3327</v>
      </c>
    </row>
    <row r="735" spans="1:4" x14ac:dyDescent="0.25">
      <c r="A735" t="str">
        <f>T("621020")</f>
        <v>621020</v>
      </c>
      <c r="B735" t="str">
        <f>T("Vêtements des types du n° 6201.11 à 6201.19 [manteaux, cabans, capes et articles simil.], caoutchoutés ou imprégnés, enduits ou recouverts de matière plastique ou d'autres substances")</f>
        <v>Vêtements des types du n° 6201.11 à 6201.19 [manteaux, cabans, capes et articles simil.], caoutchoutés ou imprégnés, enduits ou recouverts de matière plastique ou d'autres substances</v>
      </c>
    </row>
    <row r="736" spans="1:4" x14ac:dyDescent="0.25">
      <c r="A736" t="str">
        <f>T("   ZZZ_Monde")</f>
        <v xml:space="preserve">   ZZZ_Monde</v>
      </c>
      <c r="B736" t="str">
        <f>T("   ZZZ_Monde")</f>
        <v xml:space="preserve">   ZZZ_Monde</v>
      </c>
      <c r="C736">
        <v>2750700</v>
      </c>
      <c r="D736">
        <v>691</v>
      </c>
    </row>
    <row r="737" spans="1:4" x14ac:dyDescent="0.25">
      <c r="A737" t="str">
        <f>T("   FR")</f>
        <v xml:space="preserve">   FR</v>
      </c>
      <c r="B737" t="str">
        <f>T("   France")</f>
        <v xml:space="preserve">   France</v>
      </c>
      <c r="C737">
        <v>2750700</v>
      </c>
      <c r="D737">
        <v>691</v>
      </c>
    </row>
    <row r="738" spans="1:4" x14ac:dyDescent="0.25">
      <c r="A738" t="str">
        <f>T("621040")</f>
        <v>621040</v>
      </c>
      <c r="B738" t="str">
        <f>T("Vêtements de tissus, autres qu'en bonneterie, caoutchoutés ou imprégnés, enduits ou recouverts de matière plastique ou d'autres substances, pour hommes ou garçonnets (autres que vêtements des types du n° 6201.11 à 6201.19 [manteaux, cabans, capes et artic")</f>
        <v>Vêtements de tissus, autres qu'en bonneterie, caoutchoutés ou imprégnés, enduits ou recouverts de matière plastique ou d'autres substances, pour hommes ou garçonnets (autres que vêtements des types du n° 6201.11 à 6201.19 [manteaux, cabans, capes et artic</v>
      </c>
    </row>
    <row r="739" spans="1:4" x14ac:dyDescent="0.25">
      <c r="A739" t="str">
        <f>T("   ZZZ_Monde")</f>
        <v xml:space="preserve">   ZZZ_Monde</v>
      </c>
      <c r="B739" t="str">
        <f>T("   ZZZ_Monde")</f>
        <v xml:space="preserve">   ZZZ_Monde</v>
      </c>
      <c r="C739">
        <v>17818612</v>
      </c>
      <c r="D739">
        <v>8500</v>
      </c>
    </row>
    <row r="740" spans="1:4" x14ac:dyDescent="0.25">
      <c r="A740" t="str">
        <f>T("   CI")</f>
        <v xml:space="preserve">   CI</v>
      </c>
      <c r="B740" t="str">
        <f>T("   Côte d'Ivoire")</f>
        <v xml:space="preserve">   Côte d'Ivoire</v>
      </c>
      <c r="C740">
        <v>12818612</v>
      </c>
      <c r="D740">
        <v>7000</v>
      </c>
    </row>
    <row r="741" spans="1:4" x14ac:dyDescent="0.25">
      <c r="A741" t="str">
        <f>T("   NE")</f>
        <v xml:space="preserve">   NE</v>
      </c>
      <c r="B741" t="str">
        <f>T("   Niger")</f>
        <v xml:space="preserve">   Niger</v>
      </c>
      <c r="C741">
        <v>5000000</v>
      </c>
      <c r="D741">
        <v>1500</v>
      </c>
    </row>
    <row r="742" spans="1:4" x14ac:dyDescent="0.25">
      <c r="A742" t="str">
        <f>T("621050")</f>
        <v>621050</v>
      </c>
      <c r="B742" t="str">
        <f>T("Vêtements de tissus, autres qu'en bonneterie, caoutchoutés ou imprégnés, enduits ou recouverts de matière plastique ou d'autres substances, pour femmes ou fillettes (autres que vêtements des types du n° 6202.11 à 6202.19 [manteaux, cabans, capes et articl")</f>
        <v>Vêtements de tissus, autres qu'en bonneterie, caoutchoutés ou imprégnés, enduits ou recouverts de matière plastique ou d'autres substances, pour femmes ou fillettes (autres que vêtements des types du n° 6202.11 à 6202.19 [manteaux, cabans, capes et articl</v>
      </c>
    </row>
    <row r="743" spans="1:4" x14ac:dyDescent="0.25">
      <c r="A743" t="str">
        <f>T("   ZZZ_Monde")</f>
        <v xml:space="preserve">   ZZZ_Monde</v>
      </c>
      <c r="B743" t="str">
        <f>T("   ZZZ_Monde")</f>
        <v xml:space="preserve">   ZZZ_Monde</v>
      </c>
      <c r="C743">
        <v>2068780</v>
      </c>
      <c r="D743">
        <v>560</v>
      </c>
    </row>
    <row r="744" spans="1:4" x14ac:dyDescent="0.25">
      <c r="A744" t="str">
        <f>T("   BI")</f>
        <v xml:space="preserve">   BI</v>
      </c>
      <c r="B744" t="str">
        <f>T("   Burundi")</f>
        <v xml:space="preserve">   Burundi</v>
      </c>
      <c r="C744">
        <v>2068780</v>
      </c>
      <c r="D744">
        <v>560</v>
      </c>
    </row>
    <row r="745" spans="1:4" x14ac:dyDescent="0.25">
      <c r="A745" t="str">
        <f>T("621139")</f>
        <v>621139</v>
      </c>
      <c r="B745" t="str">
        <f>T("Survêtements de sport 'trainings' et autres vêtements n.d.a., de matières textiles, pour hommes ou garçonnets (autres que de laine, poils fins, coton, fibres synthétiques ou artificielles, autres qu'en bonneterie)")</f>
        <v>Survêtements de sport 'trainings' et autres vêtements n.d.a., de matières textiles, pour hommes ou garçonnets (autres que de laine, poils fins, coton, fibres synthétiques ou artificielles, autres qu'en bonneterie)</v>
      </c>
    </row>
    <row r="746" spans="1:4" x14ac:dyDescent="0.25">
      <c r="A746" t="str">
        <f>T("   ZZZ_Monde")</f>
        <v xml:space="preserve">   ZZZ_Monde</v>
      </c>
      <c r="B746" t="str">
        <f>T("   ZZZ_Monde")</f>
        <v xml:space="preserve">   ZZZ_Monde</v>
      </c>
      <c r="C746">
        <v>840000</v>
      </c>
      <c r="D746">
        <v>66</v>
      </c>
    </row>
    <row r="747" spans="1:4" x14ac:dyDescent="0.25">
      <c r="A747" t="str">
        <f>T("   GH")</f>
        <v xml:space="preserve">   GH</v>
      </c>
      <c r="B747" t="str">
        <f>T("   Ghana")</f>
        <v xml:space="preserve">   Ghana</v>
      </c>
      <c r="C747">
        <v>840000</v>
      </c>
      <c r="D747">
        <v>66</v>
      </c>
    </row>
    <row r="748" spans="1:4" x14ac:dyDescent="0.25">
      <c r="A748" t="str">
        <f>T("621149")</f>
        <v>621149</v>
      </c>
      <c r="B748" t="str">
        <f>T("Survêtements de sport 'trainings' et autres vêtements n.d.a., de matières textiles, pour femmes ou fillettes (autres que de laine, poils fins, coton, fibres synthétiques ou artificielles, autres qu'en bonneterie)")</f>
        <v>Survêtements de sport 'trainings' et autres vêtements n.d.a., de matières textiles, pour femmes ou fillettes (autres que de laine, poils fins, coton, fibres synthétiques ou artificielles, autres qu'en bonneterie)</v>
      </c>
    </row>
    <row r="749" spans="1:4" x14ac:dyDescent="0.25">
      <c r="A749" t="str">
        <f>T("   ZZZ_Monde")</f>
        <v xml:space="preserve">   ZZZ_Monde</v>
      </c>
      <c r="B749" t="str">
        <f>T("   ZZZ_Monde")</f>
        <v xml:space="preserve">   ZZZ_Monde</v>
      </c>
      <c r="C749">
        <v>850000</v>
      </c>
      <c r="D749">
        <v>550</v>
      </c>
    </row>
    <row r="750" spans="1:4" x14ac:dyDescent="0.25">
      <c r="A750" t="str">
        <f>T("   SN")</f>
        <v xml:space="preserve">   SN</v>
      </c>
      <c r="B750" t="str">
        <f>T("   Sénégal")</f>
        <v xml:space="preserve">   Sénégal</v>
      </c>
      <c r="C750">
        <v>850000</v>
      </c>
      <c r="D750">
        <v>550</v>
      </c>
    </row>
    <row r="751" spans="1:4" x14ac:dyDescent="0.25">
      <c r="A751" t="str">
        <f>T("621600")</f>
        <v>621600</v>
      </c>
      <c r="B751" t="str">
        <f>T("Gants, mitaines et moufles, en tous types de matières textiles (autres qu'en bonneterie et sauf gants pour bébés)")</f>
        <v>Gants, mitaines et moufles, en tous types de matières textiles (autres qu'en bonneterie et sauf gants pour bébés)</v>
      </c>
    </row>
    <row r="752" spans="1:4" x14ac:dyDescent="0.25">
      <c r="A752" t="str">
        <f>T("   ZZZ_Monde")</f>
        <v xml:space="preserve">   ZZZ_Monde</v>
      </c>
      <c r="B752" t="str">
        <f>T("   ZZZ_Monde")</f>
        <v xml:space="preserve">   ZZZ_Monde</v>
      </c>
      <c r="C752">
        <v>60000</v>
      </c>
      <c r="D752">
        <v>11</v>
      </c>
    </row>
    <row r="753" spans="1:4" x14ac:dyDescent="0.25">
      <c r="A753" t="str">
        <f>T("   GH")</f>
        <v xml:space="preserve">   GH</v>
      </c>
      <c r="B753" t="str">
        <f>T("   Ghana")</f>
        <v xml:space="preserve">   Ghana</v>
      </c>
      <c r="C753">
        <v>60000</v>
      </c>
      <c r="D753">
        <v>11</v>
      </c>
    </row>
    <row r="754" spans="1:4" x14ac:dyDescent="0.25">
      <c r="A754" t="str">
        <f>T("630221")</f>
        <v>630221</v>
      </c>
      <c r="B754" t="str">
        <f>T("Linge de lit de coton, imprimé (autre qu'en bonneterie)")</f>
        <v>Linge de lit de coton, imprimé (autre qu'en bonneterie)</v>
      </c>
    </row>
    <row r="755" spans="1:4" x14ac:dyDescent="0.25">
      <c r="A755" t="str">
        <f>T("   ZZZ_Monde")</f>
        <v xml:space="preserve">   ZZZ_Monde</v>
      </c>
      <c r="B755" t="str">
        <f>T("   ZZZ_Monde")</f>
        <v xml:space="preserve">   ZZZ_Monde</v>
      </c>
      <c r="C755">
        <v>201984</v>
      </c>
      <c r="D755">
        <v>600</v>
      </c>
    </row>
    <row r="756" spans="1:4" x14ac:dyDescent="0.25">
      <c r="A756" t="str">
        <f>T("   NL")</f>
        <v xml:space="preserve">   NL</v>
      </c>
      <c r="B756" t="str">
        <f>T("   Pays-bas")</f>
        <v xml:space="preserve">   Pays-bas</v>
      </c>
      <c r="C756">
        <v>201984</v>
      </c>
      <c r="D756">
        <v>600</v>
      </c>
    </row>
    <row r="757" spans="1:4" x14ac:dyDescent="0.25">
      <c r="A757" t="str">
        <f>T("630419")</f>
        <v>630419</v>
      </c>
      <c r="B757" t="str">
        <f>T("Couvre-lits en tous types de matières textiles (autres qu'en bonneterie et sauf linge de lit, couvre-pieds et édredons)")</f>
        <v>Couvre-lits en tous types de matières textiles (autres qu'en bonneterie et sauf linge de lit, couvre-pieds et édredons)</v>
      </c>
    </row>
    <row r="758" spans="1:4" x14ac:dyDescent="0.25">
      <c r="A758" t="str">
        <f>T("   ZZZ_Monde")</f>
        <v xml:space="preserve">   ZZZ_Monde</v>
      </c>
      <c r="B758" t="str">
        <f>T("   ZZZ_Monde")</f>
        <v xml:space="preserve">   ZZZ_Monde</v>
      </c>
      <c r="C758">
        <v>48188307</v>
      </c>
      <c r="D758">
        <v>249534</v>
      </c>
    </row>
    <row r="759" spans="1:4" x14ac:dyDescent="0.25">
      <c r="A759" t="str">
        <f>T("   NE")</f>
        <v xml:space="preserve">   NE</v>
      </c>
      <c r="B759" t="str">
        <f>T("   Niger")</f>
        <v xml:space="preserve">   Niger</v>
      </c>
      <c r="C759">
        <v>48188307</v>
      </c>
      <c r="D759">
        <v>249534</v>
      </c>
    </row>
    <row r="760" spans="1:4" x14ac:dyDescent="0.25">
      <c r="A760" t="str">
        <f>T("630510")</f>
        <v>630510</v>
      </c>
      <c r="B760" t="str">
        <f>T("Sacs et sachets d'emballage de jute ou d'autres fibres textiles libériennes du n° 5303")</f>
        <v>Sacs et sachets d'emballage de jute ou d'autres fibres textiles libériennes du n° 5303</v>
      </c>
    </row>
    <row r="761" spans="1:4" x14ac:dyDescent="0.25">
      <c r="A761" t="str">
        <f>T("   ZZZ_Monde")</f>
        <v xml:space="preserve">   ZZZ_Monde</v>
      </c>
      <c r="B761" t="str">
        <f>T("   ZZZ_Monde")</f>
        <v xml:space="preserve">   ZZZ_Monde</v>
      </c>
      <c r="C761">
        <v>18965742</v>
      </c>
      <c r="D761">
        <v>121780</v>
      </c>
    </row>
    <row r="762" spans="1:4" x14ac:dyDescent="0.25">
      <c r="A762" t="str">
        <f>T("   BD")</f>
        <v xml:space="preserve">   BD</v>
      </c>
      <c r="B762" t="str">
        <f>T("   Bangladesh")</f>
        <v xml:space="preserve">   Bangladesh</v>
      </c>
      <c r="C762">
        <v>7997871</v>
      </c>
      <c r="D762">
        <v>19560</v>
      </c>
    </row>
    <row r="763" spans="1:4" x14ac:dyDescent="0.25">
      <c r="A763" t="str">
        <f>T("   GH")</f>
        <v xml:space="preserve">   GH</v>
      </c>
      <c r="B763" t="str">
        <f>T("   Ghana")</f>
        <v xml:space="preserve">   Ghana</v>
      </c>
      <c r="C763">
        <v>2970000</v>
      </c>
      <c r="D763">
        <v>19800</v>
      </c>
    </row>
    <row r="764" spans="1:4" x14ac:dyDescent="0.25">
      <c r="A764" t="str">
        <f>T("   IN")</f>
        <v xml:space="preserve">   IN</v>
      </c>
      <c r="B764" t="str">
        <f>T("   Inde")</f>
        <v xml:space="preserve">   Inde</v>
      </c>
      <c r="C764">
        <v>7997871</v>
      </c>
      <c r="D764">
        <v>82420</v>
      </c>
    </row>
    <row r="765" spans="1:4" x14ac:dyDescent="0.25">
      <c r="A765" t="str">
        <f>T("630539")</f>
        <v>630539</v>
      </c>
      <c r="B765" t="str">
        <f>T("Sacs et sachets d'emballage de matières synthétiques ou artificielles (autres qu'en lames ou formes simil. de polyéthylène ou de polypropylène ainsi que contenants souples pour matières en vrac)")</f>
        <v>Sacs et sachets d'emballage de matières synthétiques ou artificielles (autres qu'en lames ou formes simil. de polyéthylène ou de polypropylène ainsi que contenants souples pour matières en vrac)</v>
      </c>
    </row>
    <row r="766" spans="1:4" x14ac:dyDescent="0.25">
      <c r="A766" t="str">
        <f>T("   ZZZ_Monde")</f>
        <v xml:space="preserve">   ZZZ_Monde</v>
      </c>
      <c r="B766" t="str">
        <f>T("   ZZZ_Monde")</f>
        <v xml:space="preserve">   ZZZ_Monde</v>
      </c>
      <c r="C766">
        <v>4000000</v>
      </c>
      <c r="D766">
        <v>1200</v>
      </c>
    </row>
    <row r="767" spans="1:4" x14ac:dyDescent="0.25">
      <c r="A767" t="str">
        <f>T("   GA")</f>
        <v xml:space="preserve">   GA</v>
      </c>
      <c r="B767" t="str">
        <f>T("   Gabon")</f>
        <v xml:space="preserve">   Gabon</v>
      </c>
      <c r="C767">
        <v>4000000</v>
      </c>
      <c r="D767">
        <v>1200</v>
      </c>
    </row>
    <row r="768" spans="1:4" x14ac:dyDescent="0.25">
      <c r="A768" t="str">
        <f>T("630612")</f>
        <v>630612</v>
      </c>
      <c r="B768" t="str">
        <f>T("Bâches et stores d'extérieur de fibres synthétiques (sauf auvents plats en tissus légers, confectionnés selon le type de bâche)")</f>
        <v>Bâches et stores d'extérieur de fibres synthétiques (sauf auvents plats en tissus légers, confectionnés selon le type de bâche)</v>
      </c>
    </row>
    <row r="769" spans="1:4" x14ac:dyDescent="0.25">
      <c r="A769" t="str">
        <f>T("   ZZZ_Monde")</f>
        <v xml:space="preserve">   ZZZ_Monde</v>
      </c>
      <c r="B769" t="str">
        <f>T("   ZZZ_Monde")</f>
        <v xml:space="preserve">   ZZZ_Monde</v>
      </c>
      <c r="C769">
        <v>48308</v>
      </c>
      <c r="D769">
        <v>3000</v>
      </c>
    </row>
    <row r="770" spans="1:4" x14ac:dyDescent="0.25">
      <c r="A770" t="str">
        <f>T("   BF")</f>
        <v xml:space="preserve">   BF</v>
      </c>
      <c r="B770" t="str">
        <f>T("   Burkina Faso")</f>
        <v xml:space="preserve">   Burkina Faso</v>
      </c>
      <c r="C770">
        <v>48308</v>
      </c>
      <c r="D770">
        <v>3000</v>
      </c>
    </row>
    <row r="771" spans="1:4" x14ac:dyDescent="0.25">
      <c r="A771" t="str">
        <f>T("630710")</f>
        <v>630710</v>
      </c>
      <c r="B771" t="str">
        <f>T("Serpillières ou wassingues, lavettes, chamoisettes et articles d'entretien simil. en tous types de matières textiles")</f>
        <v>Serpillières ou wassingues, lavettes, chamoisettes et articles d'entretien simil. en tous types de matières textiles</v>
      </c>
    </row>
    <row r="772" spans="1:4" x14ac:dyDescent="0.25">
      <c r="A772" t="str">
        <f>T("   ZZZ_Monde")</f>
        <v xml:space="preserve">   ZZZ_Monde</v>
      </c>
      <c r="B772" t="str">
        <f>T("   ZZZ_Monde")</f>
        <v xml:space="preserve">   ZZZ_Monde</v>
      </c>
      <c r="C772">
        <v>12000000</v>
      </c>
      <c r="D772">
        <v>2000</v>
      </c>
    </row>
    <row r="773" spans="1:4" x14ac:dyDescent="0.25">
      <c r="A773" t="str">
        <f>T("   TG")</f>
        <v xml:space="preserve">   TG</v>
      </c>
      <c r="B773" t="str">
        <f>T("   Togo")</f>
        <v xml:space="preserve">   Togo</v>
      </c>
      <c r="C773">
        <v>12000000</v>
      </c>
      <c r="D773">
        <v>2000</v>
      </c>
    </row>
    <row r="774" spans="1:4" x14ac:dyDescent="0.25">
      <c r="A774" t="str">
        <f>T("630900")</f>
        <v>630900</v>
      </c>
      <c r="B774" t="str">
        <f>T("Articles de friperie composés de vêtements, accessoires du vêtement, couvertures, linge de maison et articles d'aménagement intérieur, en tous types de matières textiles, y.c. les chaussures et coiffures de tous genres, manifestement usagés et présentés e")</f>
        <v>Articles de friperie composés de vêtements, accessoires du vêtement, couvertures, linge de maison et articles d'aménagement intérieur, en tous types de matières textiles, y.c. les chaussures et coiffures de tous genres, manifestement usagés et présentés e</v>
      </c>
    </row>
    <row r="775" spans="1:4" x14ac:dyDescent="0.25">
      <c r="A775" t="str">
        <f>T("   ZZZ_Monde")</f>
        <v xml:space="preserve">   ZZZ_Monde</v>
      </c>
      <c r="B775" t="str">
        <f>T("   ZZZ_Monde")</f>
        <v xml:space="preserve">   ZZZ_Monde</v>
      </c>
      <c r="C775">
        <v>5215000</v>
      </c>
      <c r="D775">
        <v>7450</v>
      </c>
    </row>
    <row r="776" spans="1:4" x14ac:dyDescent="0.25">
      <c r="A776" t="str">
        <f>T("   US")</f>
        <v xml:space="preserve">   US</v>
      </c>
      <c r="B776" t="str">
        <f>T("   Etats-Unis")</f>
        <v xml:space="preserve">   Etats-Unis</v>
      </c>
      <c r="C776">
        <v>5215000</v>
      </c>
      <c r="D776">
        <v>7450</v>
      </c>
    </row>
    <row r="777" spans="1:4" x14ac:dyDescent="0.25">
      <c r="A777" t="str">
        <f>T("640590")</f>
        <v>640590</v>
      </c>
      <c r="B777" t="str">
        <f>T("CHAUSSURES À SEMELLES EXTÉRIEURES EN CAOUTCHOUC OU EN MATIÈRE PLASTIQUE ET À DESSUS EN AUTRES MATIÈRES QUE CAOUTCHOUC, MATIÈRE PLASTIQUE, CUIR OU MATIÈRES TEXTILES; CHAUSSURES À SEMELLES EXTÉRIEURES EN CUIR NATUREL OU RECONSTITUÉ ET À DESSUS EN D'AUTRES M")</f>
        <v>CHAUSSURES À SEMELLES EXTÉRIEURES EN CAOUTCHOUC OU EN MATIÈRE PLASTIQUE ET À DESSUS EN AUTRES MATIÈRES QUE CAOUTCHOUC, MATIÈRE PLASTIQUE, CUIR OU MATIÈRES TEXTILES; CHAUSSURES À SEMELLES EXTÉRIEURES EN CUIR NATUREL OU RECONSTITUÉ ET À DESSUS EN D'AUTRES M</v>
      </c>
    </row>
    <row r="778" spans="1:4" x14ac:dyDescent="0.25">
      <c r="A778" t="str">
        <f>T("   ZZZ_Monde")</f>
        <v xml:space="preserve">   ZZZ_Monde</v>
      </c>
      <c r="B778" t="str">
        <f>T("   ZZZ_Monde")</f>
        <v xml:space="preserve">   ZZZ_Monde</v>
      </c>
      <c r="C778">
        <v>5939823</v>
      </c>
      <c r="D778">
        <v>459</v>
      </c>
    </row>
    <row r="779" spans="1:4" x14ac:dyDescent="0.25">
      <c r="A779" t="str">
        <f>T("   GH")</f>
        <v xml:space="preserve">   GH</v>
      </c>
      <c r="B779" t="str">
        <f>T("   Ghana")</f>
        <v xml:space="preserve">   Ghana</v>
      </c>
      <c r="C779">
        <v>320250</v>
      </c>
      <c r="D779">
        <v>67</v>
      </c>
    </row>
    <row r="780" spans="1:4" x14ac:dyDescent="0.25">
      <c r="A780" t="str">
        <f>T("   GN")</f>
        <v xml:space="preserve">   GN</v>
      </c>
      <c r="B780" t="str">
        <f>T("   Guinée")</f>
        <v xml:space="preserve">   Guinée</v>
      </c>
      <c r="C780">
        <v>71903</v>
      </c>
      <c r="D780">
        <v>315</v>
      </c>
    </row>
    <row r="781" spans="1:4" x14ac:dyDescent="0.25">
      <c r="A781" t="str">
        <f>T("   TG")</f>
        <v xml:space="preserve">   TG</v>
      </c>
      <c r="B781" t="str">
        <f>T("   Togo")</f>
        <v xml:space="preserve">   Togo</v>
      </c>
      <c r="C781">
        <v>5547670</v>
      </c>
      <c r="D781">
        <v>77</v>
      </c>
    </row>
    <row r="782" spans="1:4" x14ac:dyDescent="0.25">
      <c r="A782" t="str">
        <f>T("650699")</f>
        <v>650699</v>
      </c>
      <c r="B782" t="str">
        <f>T("Chapeaux et autres coiffures, même garnis, n.d.a.")</f>
        <v>Chapeaux et autres coiffures, même garnis, n.d.a.</v>
      </c>
    </row>
    <row r="783" spans="1:4" x14ac:dyDescent="0.25">
      <c r="A783" t="str">
        <f>T("   ZZZ_Monde")</f>
        <v xml:space="preserve">   ZZZ_Monde</v>
      </c>
      <c r="B783" t="str">
        <f>T("   ZZZ_Monde")</f>
        <v xml:space="preserve">   ZZZ_Monde</v>
      </c>
      <c r="C783">
        <v>45000</v>
      </c>
      <c r="D783">
        <v>11</v>
      </c>
    </row>
    <row r="784" spans="1:4" x14ac:dyDescent="0.25">
      <c r="A784" t="str">
        <f>T("   GH")</f>
        <v xml:space="preserve">   GH</v>
      </c>
      <c r="B784" t="str">
        <f>T("   Ghana")</f>
        <v xml:space="preserve">   Ghana</v>
      </c>
      <c r="C784">
        <v>45000</v>
      </c>
      <c r="D784">
        <v>11</v>
      </c>
    </row>
    <row r="785" spans="1:4" x14ac:dyDescent="0.25">
      <c r="A785" t="str">
        <f>T("680299")</f>
        <v>680299</v>
      </c>
      <c r="B785" t="str">
        <f>T("PIERRES DE TAILLE OU DE CONSTRUCTION, NATURELLES, AUTRES QUE LES PIERRES CALCAIRES, LE GRANIT, L'ARDOISE, DE N'IMPORTE QUELLE FORME, POLIES, DÉCORÉES OU AUTREMENT TRAVAILLÉES (SAUF OUVRAGES DU 6802.10; ARTICLES EN BASALTE FONDU OU EN STÉATITE CÉRAMIQUE; B")</f>
        <v>PIERRES DE TAILLE OU DE CONSTRUCTION, NATURELLES, AUTRES QUE LES PIERRES CALCAIRES, LE GRANIT, L'ARDOISE, DE N'IMPORTE QUELLE FORME, POLIES, DÉCORÉES OU AUTREMENT TRAVAILLÉES (SAUF OUVRAGES DU 6802.10; ARTICLES EN BASALTE FONDU OU EN STÉATITE CÉRAMIQUE; B</v>
      </c>
    </row>
    <row r="786" spans="1:4" x14ac:dyDescent="0.25">
      <c r="A786" t="str">
        <f>T("   ZZZ_Monde")</f>
        <v xml:space="preserve">   ZZZ_Monde</v>
      </c>
      <c r="B786" t="str">
        <f>T("   ZZZ_Monde")</f>
        <v xml:space="preserve">   ZZZ_Monde</v>
      </c>
      <c r="C786">
        <v>8844000</v>
      </c>
      <c r="D786">
        <v>66560</v>
      </c>
    </row>
    <row r="787" spans="1:4" x14ac:dyDescent="0.25">
      <c r="A787" t="str">
        <f>T("   FR")</f>
        <v xml:space="preserve">   FR</v>
      </c>
      <c r="B787" t="str">
        <f>T("   France")</f>
        <v xml:space="preserve">   France</v>
      </c>
      <c r="C787">
        <v>8844000</v>
      </c>
      <c r="D787">
        <v>66560</v>
      </c>
    </row>
    <row r="788" spans="1:4" x14ac:dyDescent="0.25">
      <c r="A788" t="str">
        <f>T("680430")</f>
        <v>680430</v>
      </c>
      <c r="B788" t="str">
        <f>T("Pierres à aiguiser ou à polir à la main")</f>
        <v>Pierres à aiguiser ou à polir à la main</v>
      </c>
    </row>
    <row r="789" spans="1:4" x14ac:dyDescent="0.25">
      <c r="A789" t="str">
        <f>T("   ZZZ_Monde")</f>
        <v xml:space="preserve">   ZZZ_Monde</v>
      </c>
      <c r="B789" t="str">
        <f>T("   ZZZ_Monde")</f>
        <v xml:space="preserve">   ZZZ_Monde</v>
      </c>
      <c r="C789">
        <v>2875000</v>
      </c>
      <c r="D789">
        <v>23500</v>
      </c>
    </row>
    <row r="790" spans="1:4" x14ac:dyDescent="0.25">
      <c r="A790" t="str">
        <f>T("   FR")</f>
        <v xml:space="preserve">   FR</v>
      </c>
      <c r="B790" t="str">
        <f>T("   France")</f>
        <v xml:space="preserve">   France</v>
      </c>
      <c r="C790">
        <v>2875000</v>
      </c>
      <c r="D790">
        <v>23500</v>
      </c>
    </row>
    <row r="791" spans="1:4" x14ac:dyDescent="0.25">
      <c r="A791" t="str">
        <f>T("691110")</f>
        <v>691110</v>
      </c>
      <c r="B791" t="str">
        <f>T("Articles pour le service de la table ou de la cuisine en porcelaine (sauf objets d'ornementation; cruchons, cornues et récipients simil. de transport ou d'emballage; moulins à café et moulins à épices avec récipient en céramique et élément de travail en m")</f>
        <v>Articles pour le service de la table ou de la cuisine en porcelaine (sauf objets d'ornementation; cruchons, cornues et récipients simil. de transport ou d'emballage; moulins à café et moulins à épices avec récipient en céramique et élément de travail en m</v>
      </c>
    </row>
    <row r="792" spans="1:4" x14ac:dyDescent="0.25">
      <c r="A792" t="str">
        <f>T("   ZZZ_Monde")</f>
        <v xml:space="preserve">   ZZZ_Monde</v>
      </c>
      <c r="B792" t="str">
        <f>T("   ZZZ_Monde")</f>
        <v xml:space="preserve">   ZZZ_Monde</v>
      </c>
      <c r="C792">
        <v>10305516</v>
      </c>
      <c r="D792">
        <v>1240</v>
      </c>
    </row>
    <row r="793" spans="1:4" x14ac:dyDescent="0.25">
      <c r="A793" t="str">
        <f>T("   CG")</f>
        <v xml:space="preserve">   CG</v>
      </c>
      <c r="B793" t="str">
        <f>T("   Congo (Brazzaville)")</f>
        <v xml:space="preserve">   Congo (Brazzaville)</v>
      </c>
      <c r="C793">
        <v>9839400</v>
      </c>
      <c r="D793">
        <v>500</v>
      </c>
    </row>
    <row r="794" spans="1:4" x14ac:dyDescent="0.25">
      <c r="A794" t="str">
        <f>T("   NL")</f>
        <v xml:space="preserve">   NL</v>
      </c>
      <c r="B794" t="str">
        <f>T("   Pays-bas")</f>
        <v xml:space="preserve">   Pays-bas</v>
      </c>
      <c r="C794">
        <v>466116</v>
      </c>
      <c r="D794">
        <v>740</v>
      </c>
    </row>
    <row r="795" spans="1:4" x14ac:dyDescent="0.25">
      <c r="A795" t="str">
        <f>T("691200")</f>
        <v>691200</v>
      </c>
      <c r="B795" t="str">
        <f>T("Vaisselle, autres articles de ménage ou d'économie domestique et articles d'hygiène ou de toilette en céramique, autres que la porcelaine (sauf baignoires, bidets, éviers et autres appareils fixes simil.; statuettes et autres objets d'ornementation; cruch")</f>
        <v>Vaisselle, autres articles de ménage ou d'économie domestique et articles d'hygiène ou de toilette en céramique, autres que la porcelaine (sauf baignoires, bidets, éviers et autres appareils fixes simil.; statuettes et autres objets d'ornementation; cruch</v>
      </c>
    </row>
    <row r="796" spans="1:4" x14ac:dyDescent="0.25">
      <c r="A796" t="str">
        <f>T("   ZZZ_Monde")</f>
        <v xml:space="preserve">   ZZZ_Monde</v>
      </c>
      <c r="B796" t="str">
        <f>T("   ZZZ_Monde")</f>
        <v xml:space="preserve">   ZZZ_Monde</v>
      </c>
      <c r="C796">
        <v>310744</v>
      </c>
      <c r="D796">
        <v>700</v>
      </c>
    </row>
    <row r="797" spans="1:4" x14ac:dyDescent="0.25">
      <c r="A797" t="str">
        <f>T("   NL")</f>
        <v xml:space="preserve">   NL</v>
      </c>
      <c r="B797" t="str">
        <f>T("   Pays-bas")</f>
        <v xml:space="preserve">   Pays-bas</v>
      </c>
      <c r="C797">
        <v>310744</v>
      </c>
      <c r="D797">
        <v>700</v>
      </c>
    </row>
    <row r="798" spans="1:4" x14ac:dyDescent="0.25">
      <c r="A798" t="str">
        <f>T("700729")</f>
        <v>700729</v>
      </c>
      <c r="B798" t="str">
        <f>T("VERRE FORMÉ DE FEUILLES CONTRECOLLÉES, DE SÉCURITÉ (AUTRES QUE DES DIMENSIONS ET FORMES PERMETTANT SON EMPLOI DANS LES VÉHICULES AUTOMOBILES, VÉHICULES AÉRIENS, BATEAUX OU AUTRES VÉHICULES ET SAUF VITRAGE ISOLANT À PAROIS MULTIPLES) [01/01/1988-31/12/1988")</f>
        <v>VERRE FORMÉ DE FEUILLES CONTRECOLLÉES, DE SÉCURITÉ (AUTRES QUE DES DIMENSIONS ET FORMES PERMETTANT SON EMPLOI DANS LES VÉHICULES AUTOMOBILES, VÉHICULES AÉRIENS, BATEAUX OU AUTRES VÉHICULES ET SAUF VITRAGE ISOLANT À PAROIS MULTIPLES) [01/01/1988-31/12/1988</v>
      </c>
    </row>
    <row r="799" spans="1:4" x14ac:dyDescent="0.25">
      <c r="A799" t="str">
        <f>T("   ZZZ_Monde")</f>
        <v xml:space="preserve">   ZZZ_Monde</v>
      </c>
      <c r="B799" t="str">
        <f>T("   ZZZ_Monde")</f>
        <v xml:space="preserve">   ZZZ_Monde</v>
      </c>
      <c r="C799">
        <v>55000</v>
      </c>
      <c r="D799">
        <v>10</v>
      </c>
    </row>
    <row r="800" spans="1:4" x14ac:dyDescent="0.25">
      <c r="A800" t="str">
        <f>T("   GQ")</f>
        <v xml:space="preserve">   GQ</v>
      </c>
      <c r="B800" t="str">
        <f>T("   Guinée Equatoriale")</f>
        <v xml:space="preserve">   Guinée Equatoriale</v>
      </c>
      <c r="C800">
        <v>55000</v>
      </c>
      <c r="D800">
        <v>10</v>
      </c>
    </row>
    <row r="801" spans="1:4" x14ac:dyDescent="0.25">
      <c r="A801" t="str">
        <f>T("701090")</f>
        <v>701090</v>
      </c>
      <c r="B801" t="str">
        <f>T("Bonbonnes, bouteilles, flacons, bocaux, pots, emballages tubulaires et autres récipients en verre pour le transport ou l'emballage commercial et bocaux à conserves en verre (sauf ampoules, bouteilles isolantes et récipients dont l'isolation est assurée pa")</f>
        <v>Bonbonnes, bouteilles, flacons, bocaux, pots, emballages tubulaires et autres récipients en verre pour le transport ou l'emballage commercial et bocaux à conserves en verre (sauf ampoules, bouteilles isolantes et récipients dont l'isolation est assurée pa</v>
      </c>
    </row>
    <row r="802" spans="1:4" x14ac:dyDescent="0.25">
      <c r="A802" t="str">
        <f>T("   ZZZ_Monde")</f>
        <v xml:space="preserve">   ZZZ_Monde</v>
      </c>
      <c r="B802" t="str">
        <f>T("   ZZZ_Monde")</f>
        <v xml:space="preserve">   ZZZ_Monde</v>
      </c>
      <c r="C802">
        <v>5022413</v>
      </c>
      <c r="D802">
        <v>20100</v>
      </c>
    </row>
    <row r="803" spans="1:4" x14ac:dyDescent="0.25">
      <c r="A803" t="str">
        <f>T("   LY")</f>
        <v xml:space="preserve">   LY</v>
      </c>
      <c r="B803" t="str">
        <f>T("   Libyenne, Jamahiriya Arabe")</f>
        <v xml:space="preserve">   Libyenne, Jamahiriya Arabe</v>
      </c>
      <c r="C803">
        <v>5022413</v>
      </c>
      <c r="D803">
        <v>20100</v>
      </c>
    </row>
    <row r="804" spans="1:4" x14ac:dyDescent="0.25">
      <c r="A804" t="str">
        <f>T("711299")</f>
        <v>711299</v>
      </c>
      <c r="B804" t="str">
        <f>T("Déchets et débris d'argent, même  de plaqué ou doublé d'argent et autres déchets et débris contenant de l'argent ou des composés de l'argent du type de ceux utilisés principalement pour la récupération des métaux précieux (à l'excl. des cendres et des déc")</f>
        <v>Déchets et débris d'argent, même  de plaqué ou doublé d'argent et autres déchets et débris contenant de l'argent ou des composés de l'argent du type de ceux utilisés principalement pour la récupération des métaux précieux (à l'excl. des cendres et des déc</v>
      </c>
    </row>
    <row r="805" spans="1:4" x14ac:dyDescent="0.25">
      <c r="A805" t="str">
        <f>T("   ZZZ_Monde")</f>
        <v xml:space="preserve">   ZZZ_Monde</v>
      </c>
      <c r="B805" t="str">
        <f>T("   ZZZ_Monde")</f>
        <v xml:space="preserve">   ZZZ_Monde</v>
      </c>
      <c r="C805">
        <v>1254300</v>
      </c>
      <c r="D805">
        <v>125430</v>
      </c>
    </row>
    <row r="806" spans="1:4" x14ac:dyDescent="0.25">
      <c r="A806" t="str">
        <f>T("   KR")</f>
        <v xml:space="preserve">   KR</v>
      </c>
      <c r="B806" t="str">
        <f>T("   Corée, République de")</f>
        <v xml:space="preserve">   Corée, République de</v>
      </c>
      <c r="C806">
        <v>1254300</v>
      </c>
      <c r="D806">
        <v>125430</v>
      </c>
    </row>
    <row r="807" spans="1:4" x14ac:dyDescent="0.25">
      <c r="A807" t="str">
        <f>T("711320")</f>
        <v>711320</v>
      </c>
      <c r="B807" t="str">
        <f>T("Articles de bijouterie ou de joaillerie et leurs parties, en plaqués ou doublés de métaux précieux sur métaux communs (sauf &gt; 100 ans)")</f>
        <v>Articles de bijouterie ou de joaillerie et leurs parties, en plaqués ou doublés de métaux précieux sur métaux communs (sauf &gt; 100 ans)</v>
      </c>
    </row>
    <row r="808" spans="1:4" x14ac:dyDescent="0.25">
      <c r="A808" t="str">
        <f>T("   ZZZ_Monde")</f>
        <v xml:space="preserve">   ZZZ_Monde</v>
      </c>
      <c r="B808" t="str">
        <f>T("   ZZZ_Monde")</f>
        <v xml:space="preserve">   ZZZ_Monde</v>
      </c>
      <c r="C808">
        <v>1254300</v>
      </c>
      <c r="D808">
        <v>125430</v>
      </c>
    </row>
    <row r="809" spans="1:4" x14ac:dyDescent="0.25">
      <c r="A809" t="str">
        <f>T("   KR")</f>
        <v xml:space="preserve">   KR</v>
      </c>
      <c r="B809" t="str">
        <f>T("   Corée, République de")</f>
        <v xml:space="preserve">   Corée, République de</v>
      </c>
      <c r="C809">
        <v>1254300</v>
      </c>
      <c r="D809">
        <v>125430</v>
      </c>
    </row>
    <row r="810" spans="1:4" x14ac:dyDescent="0.25">
      <c r="A810" t="str">
        <f>T("711790")</f>
        <v>711790</v>
      </c>
      <c r="B810" t="str">
        <f>T("Bijouterie de fantaisie (autre qu'en métaux communs, même argentés, dorés ou platinés)")</f>
        <v>Bijouterie de fantaisie (autre qu'en métaux communs, même argentés, dorés ou platinés)</v>
      </c>
    </row>
    <row r="811" spans="1:4" x14ac:dyDescent="0.25">
      <c r="A811" t="str">
        <f>T("   ZZZ_Monde")</f>
        <v xml:space="preserve">   ZZZ_Monde</v>
      </c>
      <c r="B811" t="str">
        <f>T("   ZZZ_Monde")</f>
        <v xml:space="preserve">   ZZZ_Monde</v>
      </c>
      <c r="C811">
        <v>846350</v>
      </c>
      <c r="D811">
        <v>93</v>
      </c>
    </row>
    <row r="812" spans="1:4" x14ac:dyDescent="0.25">
      <c r="A812" t="str">
        <f>T("   FR")</f>
        <v xml:space="preserve">   FR</v>
      </c>
      <c r="B812" t="str">
        <f>T("   France")</f>
        <v xml:space="preserve">   France</v>
      </c>
      <c r="C812">
        <v>846350</v>
      </c>
      <c r="D812">
        <v>93</v>
      </c>
    </row>
    <row r="813" spans="1:4" x14ac:dyDescent="0.25">
      <c r="A813" t="str">
        <f>T("720219")</f>
        <v>720219</v>
      </c>
      <c r="B813" t="str">
        <f>T("Ferromanganèse, teneur en poids en carbone &lt;= 2%")</f>
        <v>Ferromanganèse, teneur en poids en carbone &lt;= 2%</v>
      </c>
    </row>
    <row r="814" spans="1:4" x14ac:dyDescent="0.25">
      <c r="A814" t="str">
        <f>T("   ZZZ_Monde")</f>
        <v xml:space="preserve">   ZZZ_Monde</v>
      </c>
      <c r="B814" t="str">
        <f>T("   ZZZ_Monde")</f>
        <v xml:space="preserve">   ZZZ_Monde</v>
      </c>
      <c r="C814">
        <v>4475391</v>
      </c>
      <c r="D814">
        <v>4500</v>
      </c>
    </row>
    <row r="815" spans="1:4" x14ac:dyDescent="0.25">
      <c r="A815" t="str">
        <f>T("   TG")</f>
        <v xml:space="preserve">   TG</v>
      </c>
      <c r="B815" t="str">
        <f>T("   Togo")</f>
        <v xml:space="preserve">   Togo</v>
      </c>
      <c r="C815">
        <v>4475391</v>
      </c>
      <c r="D815">
        <v>4500</v>
      </c>
    </row>
    <row r="816" spans="1:4" x14ac:dyDescent="0.25">
      <c r="A816" t="str">
        <f>T("720299")</f>
        <v>720299</v>
      </c>
      <c r="B816" t="str">
        <f>T("Ferro-alliages (à l'excl. du ferromanganèse, du ferrosilicium, du ferrosilicomanganèse, du ferrochrome, du ferrosilicochrome, du ferronickel, du ferromolybdène, du ferrotungstène, du ferrosilicotungstène, du ferrotitane, du ferrosilicotitane, du ferrovana")</f>
        <v>Ferro-alliages (à l'excl. du ferromanganèse, du ferrosilicium, du ferrosilicomanganèse, du ferrochrome, du ferrosilicochrome, du ferronickel, du ferromolybdène, du ferrotungstène, du ferrosilicotungstène, du ferrotitane, du ferrosilicotitane, du ferrovana</v>
      </c>
    </row>
    <row r="817" spans="1:4" x14ac:dyDescent="0.25">
      <c r="A817" t="str">
        <f>T("   ZZZ_Monde")</f>
        <v xml:space="preserve">   ZZZ_Monde</v>
      </c>
      <c r="B817" t="str">
        <f>T("   ZZZ_Monde")</f>
        <v xml:space="preserve">   ZZZ_Monde</v>
      </c>
      <c r="C817">
        <v>103214500</v>
      </c>
      <c r="D817">
        <v>1858163</v>
      </c>
    </row>
    <row r="818" spans="1:4" x14ac:dyDescent="0.25">
      <c r="A818" t="str">
        <f>T("   KR")</f>
        <v xml:space="preserve">   KR</v>
      </c>
      <c r="B818" t="str">
        <f>T("   Corée, République de")</f>
        <v xml:space="preserve">   Corée, République de</v>
      </c>
      <c r="C818">
        <v>103214500</v>
      </c>
      <c r="D818">
        <v>1858163</v>
      </c>
    </row>
    <row r="819" spans="1:4" x14ac:dyDescent="0.25">
      <c r="A819" t="str">
        <f>T("720410")</f>
        <v>720410</v>
      </c>
      <c r="B819" t="str">
        <f>T("DÉCHETS ET DÉBRIS DE FONTE -FERRAILLES- (AUTRES QUE RADIOACTIFS)")</f>
        <v>DÉCHETS ET DÉBRIS DE FONTE -FERRAILLES- (AUTRES QUE RADIOACTIFS)</v>
      </c>
    </row>
    <row r="820" spans="1:4" x14ac:dyDescent="0.25">
      <c r="A820" t="str">
        <f>T("   ZZZ_Monde")</f>
        <v xml:space="preserve">   ZZZ_Monde</v>
      </c>
      <c r="B820" t="str">
        <f>T("   ZZZ_Monde")</f>
        <v xml:space="preserve">   ZZZ_Monde</v>
      </c>
      <c r="C820">
        <v>1254300</v>
      </c>
      <c r="D820">
        <v>125430</v>
      </c>
    </row>
    <row r="821" spans="1:4" x14ac:dyDescent="0.25">
      <c r="A821" t="str">
        <f>T("   KR")</f>
        <v xml:space="preserve">   KR</v>
      </c>
      <c r="B821" t="str">
        <f>T("   Corée, République de")</f>
        <v xml:space="preserve">   Corée, République de</v>
      </c>
      <c r="C821">
        <v>1254300</v>
      </c>
      <c r="D821">
        <v>125430</v>
      </c>
    </row>
    <row r="822" spans="1:4" x14ac:dyDescent="0.25">
      <c r="A822" t="str">
        <f>T("720429")</f>
        <v>720429</v>
      </c>
      <c r="B822" t="str">
        <f>T("DÉCHETS ET DÉBRIS D'ACIERS ALLIÉS [FERRAILLES] (SAUF ACIERS INOXYDABLES, DÉCHETS RADIOACTIFS ET DÉCHETS ET DÉBRIS DE PILES, DE BATTERIES DE PILES ET D'ACCUMULATEURS ÉLECTRIQUES)")</f>
        <v>DÉCHETS ET DÉBRIS D'ACIERS ALLIÉS [FERRAILLES] (SAUF ACIERS INOXYDABLES, DÉCHETS RADIOACTIFS ET DÉCHETS ET DÉBRIS DE PILES, DE BATTERIES DE PILES ET D'ACCUMULATEURS ÉLECTRIQUES)</v>
      </c>
    </row>
    <row r="823" spans="1:4" x14ac:dyDescent="0.25">
      <c r="A823" t="str">
        <f>T("   ZZZ_Monde")</f>
        <v xml:space="preserve">   ZZZ_Monde</v>
      </c>
      <c r="B823" t="str">
        <f>T("   ZZZ_Monde")</f>
        <v xml:space="preserve">   ZZZ_Monde</v>
      </c>
      <c r="C823">
        <v>965381200</v>
      </c>
      <c r="D823">
        <v>19443840</v>
      </c>
    </row>
    <row r="824" spans="1:4" x14ac:dyDescent="0.25">
      <c r="A824" t="str">
        <f>T("   AE")</f>
        <v xml:space="preserve">   AE</v>
      </c>
      <c r="B824" t="str">
        <f>T("   Emirats Arabes Unis")</f>
        <v xml:space="preserve">   Emirats Arabes Unis</v>
      </c>
      <c r="C824">
        <v>750000</v>
      </c>
      <c r="D824">
        <v>15000</v>
      </c>
    </row>
    <row r="825" spans="1:4" x14ac:dyDescent="0.25">
      <c r="A825" t="str">
        <f>T("   BD")</f>
        <v xml:space="preserve">   BD</v>
      </c>
      <c r="B825" t="str">
        <f>T("   Bangladesh")</f>
        <v xml:space="preserve">   Bangladesh</v>
      </c>
      <c r="C825">
        <v>5000000</v>
      </c>
      <c r="D825">
        <v>100000</v>
      </c>
    </row>
    <row r="826" spans="1:4" x14ac:dyDescent="0.25">
      <c r="A826" t="str">
        <f>T("   CN")</f>
        <v xml:space="preserve">   CN</v>
      </c>
      <c r="B826" t="str">
        <f>T("   Chine")</f>
        <v xml:space="preserve">   Chine</v>
      </c>
      <c r="C826">
        <v>103820000</v>
      </c>
      <c r="D826">
        <v>2155000</v>
      </c>
    </row>
    <row r="827" spans="1:4" x14ac:dyDescent="0.25">
      <c r="A827" t="str">
        <f>T("   ES")</f>
        <v xml:space="preserve">   ES</v>
      </c>
      <c r="B827" t="str">
        <f>T("   Espagne")</f>
        <v xml:space="preserve">   Espagne</v>
      </c>
      <c r="C827">
        <v>1500000</v>
      </c>
      <c r="D827">
        <v>30000</v>
      </c>
    </row>
    <row r="828" spans="1:4" x14ac:dyDescent="0.25">
      <c r="A828" t="str">
        <f>T("   GA")</f>
        <v xml:space="preserve">   GA</v>
      </c>
      <c r="B828" t="str">
        <f>T("   Gabon")</f>
        <v xml:space="preserve">   Gabon</v>
      </c>
      <c r="C828">
        <v>500000</v>
      </c>
      <c r="D828">
        <v>10000</v>
      </c>
    </row>
    <row r="829" spans="1:4" x14ac:dyDescent="0.25">
      <c r="A829" t="str">
        <f>T("   GH")</f>
        <v xml:space="preserve">   GH</v>
      </c>
      <c r="B829" t="str">
        <f>T("   Ghana")</f>
        <v xml:space="preserve">   Ghana</v>
      </c>
      <c r="C829">
        <v>1000000</v>
      </c>
      <c r="D829">
        <v>20000</v>
      </c>
    </row>
    <row r="830" spans="1:4" x14ac:dyDescent="0.25">
      <c r="A830" t="str">
        <f>T("   ID")</f>
        <v xml:space="preserve">   ID</v>
      </c>
      <c r="B830" t="str">
        <f>T("   Indonésie")</f>
        <v xml:space="preserve">   Indonésie</v>
      </c>
      <c r="C830">
        <v>1000000</v>
      </c>
      <c r="D830">
        <v>20000</v>
      </c>
    </row>
    <row r="831" spans="1:4" x14ac:dyDescent="0.25">
      <c r="A831" t="str">
        <f>T("   IN")</f>
        <v xml:space="preserve">   IN</v>
      </c>
      <c r="B831" t="str">
        <f>T("   Inde")</f>
        <v xml:space="preserve">   Inde</v>
      </c>
      <c r="C831">
        <v>787061200</v>
      </c>
      <c r="D831">
        <v>15798840</v>
      </c>
    </row>
    <row r="832" spans="1:4" x14ac:dyDescent="0.25">
      <c r="A832" t="str">
        <f>T("   IT")</f>
        <v xml:space="preserve">   IT</v>
      </c>
      <c r="B832" t="str">
        <f>T("   Italie")</f>
        <v xml:space="preserve">   Italie</v>
      </c>
      <c r="C832">
        <v>3750000</v>
      </c>
      <c r="D832">
        <v>75000</v>
      </c>
    </row>
    <row r="833" spans="1:4" x14ac:dyDescent="0.25">
      <c r="A833" t="str">
        <f>T("   MY")</f>
        <v xml:space="preserve">   MY</v>
      </c>
      <c r="B833" t="str">
        <f>T("   Malaisie")</f>
        <v xml:space="preserve">   Malaisie</v>
      </c>
      <c r="C833">
        <v>1000000</v>
      </c>
      <c r="D833">
        <v>20000</v>
      </c>
    </row>
    <row r="834" spans="1:4" x14ac:dyDescent="0.25">
      <c r="A834" t="str">
        <f>T("   TH")</f>
        <v xml:space="preserve">   TH</v>
      </c>
      <c r="B834" t="str">
        <f>T("   Thaïlande")</f>
        <v xml:space="preserve">   Thaïlande</v>
      </c>
      <c r="C834">
        <v>3000000</v>
      </c>
      <c r="D834">
        <v>60000</v>
      </c>
    </row>
    <row r="835" spans="1:4" x14ac:dyDescent="0.25">
      <c r="A835" t="str">
        <f>T("   VN")</f>
        <v xml:space="preserve">   VN</v>
      </c>
      <c r="B835" t="str">
        <f>T("   Vietnam")</f>
        <v xml:space="preserve">   Vietnam</v>
      </c>
      <c r="C835">
        <v>57000000</v>
      </c>
      <c r="D835">
        <v>1140000</v>
      </c>
    </row>
    <row r="836" spans="1:4" x14ac:dyDescent="0.25">
      <c r="A836" t="str">
        <f>T("720430")</f>
        <v>720430</v>
      </c>
      <c r="B836" t="str">
        <f>T("DÉCHETS ET DÉBRIS DE FER OU D'ACIER ÉTAMÉS [FERRAILLES] (AUTRES QUE RADIOACTIFS ET DÉCHETS ET DÉBRIS DE PILES, DE BATTERIES DE PILES ET D'ACCUMULATEURS ÉLECTRIQUES)")</f>
        <v>DÉCHETS ET DÉBRIS DE FER OU D'ACIER ÉTAMÉS [FERRAILLES] (AUTRES QUE RADIOACTIFS ET DÉCHETS ET DÉBRIS DE PILES, DE BATTERIES DE PILES ET D'ACCUMULATEURS ÉLECTRIQUES)</v>
      </c>
    </row>
    <row r="837" spans="1:4" x14ac:dyDescent="0.25">
      <c r="A837" t="str">
        <f>T("   ZZZ_Monde")</f>
        <v xml:space="preserve">   ZZZ_Monde</v>
      </c>
      <c r="B837" t="str">
        <f>T("   ZZZ_Monde")</f>
        <v xml:space="preserve">   ZZZ_Monde</v>
      </c>
      <c r="C837">
        <v>698758723</v>
      </c>
      <c r="D837">
        <v>18930860</v>
      </c>
    </row>
    <row r="838" spans="1:4" x14ac:dyDescent="0.25">
      <c r="A838" t="str">
        <f>T("   AE")</f>
        <v xml:space="preserve">   AE</v>
      </c>
      <c r="B838" t="str">
        <f>T("   Emirats Arabes Unis")</f>
        <v xml:space="preserve">   Emirats Arabes Unis</v>
      </c>
      <c r="C838">
        <v>5250000</v>
      </c>
      <c r="D838">
        <v>105000</v>
      </c>
    </row>
    <row r="839" spans="1:4" x14ac:dyDescent="0.25">
      <c r="A839" t="str">
        <f>T("   BD")</f>
        <v xml:space="preserve">   BD</v>
      </c>
      <c r="B839" t="str">
        <f>T("   Bangladesh")</f>
        <v xml:space="preserve">   Bangladesh</v>
      </c>
      <c r="C839">
        <v>500000</v>
      </c>
      <c r="D839">
        <v>10000</v>
      </c>
    </row>
    <row r="840" spans="1:4" x14ac:dyDescent="0.25">
      <c r="A840" t="str">
        <f>T("   BE")</f>
        <v xml:space="preserve">   BE</v>
      </c>
      <c r="B840" t="str">
        <f>T("   Belgique")</f>
        <v xml:space="preserve">   Belgique</v>
      </c>
      <c r="C840">
        <v>1500000</v>
      </c>
      <c r="D840">
        <v>30000</v>
      </c>
    </row>
    <row r="841" spans="1:4" x14ac:dyDescent="0.25">
      <c r="A841" t="str">
        <f>T("   CN")</f>
        <v xml:space="preserve">   CN</v>
      </c>
      <c r="B841" t="str">
        <f>T("   Chine")</f>
        <v xml:space="preserve">   Chine</v>
      </c>
      <c r="C841">
        <v>149883775</v>
      </c>
      <c r="D841">
        <v>2931850</v>
      </c>
    </row>
    <row r="842" spans="1:4" x14ac:dyDescent="0.25">
      <c r="A842" t="str">
        <f>T("   DE")</f>
        <v xml:space="preserve">   DE</v>
      </c>
      <c r="B842" t="str">
        <f>T("   Allemagne")</f>
        <v xml:space="preserve">   Allemagne</v>
      </c>
      <c r="C842">
        <v>3000000</v>
      </c>
      <c r="D842">
        <v>60000</v>
      </c>
    </row>
    <row r="843" spans="1:4" x14ac:dyDescent="0.25">
      <c r="A843" t="str">
        <f>T("   ID")</f>
        <v xml:space="preserve">   ID</v>
      </c>
      <c r="B843" t="str">
        <f>T("   Indonésie")</f>
        <v xml:space="preserve">   Indonésie</v>
      </c>
      <c r="C843">
        <v>10500000</v>
      </c>
      <c r="D843">
        <v>210000</v>
      </c>
    </row>
    <row r="844" spans="1:4" x14ac:dyDescent="0.25">
      <c r="A844" t="str">
        <f>T("   IN")</f>
        <v xml:space="preserve">   IN</v>
      </c>
      <c r="B844" t="str">
        <f>T("   Inde")</f>
        <v xml:space="preserve">   Inde</v>
      </c>
      <c r="C844">
        <v>489624948</v>
      </c>
      <c r="D844">
        <v>14825510</v>
      </c>
    </row>
    <row r="845" spans="1:4" x14ac:dyDescent="0.25">
      <c r="A845" t="str">
        <f>T("   IT")</f>
        <v xml:space="preserve">   IT</v>
      </c>
      <c r="B845" t="str">
        <f>T("   Italie")</f>
        <v xml:space="preserve">   Italie</v>
      </c>
      <c r="C845">
        <v>10750000</v>
      </c>
      <c r="D845">
        <v>215000</v>
      </c>
    </row>
    <row r="846" spans="1:4" x14ac:dyDescent="0.25">
      <c r="A846" t="str">
        <f>T("   JP")</f>
        <v xml:space="preserve">   JP</v>
      </c>
      <c r="B846" t="str">
        <f>T("   Japon")</f>
        <v xml:space="preserve">   Japon</v>
      </c>
      <c r="C846">
        <v>1250000</v>
      </c>
      <c r="D846">
        <v>16000</v>
      </c>
    </row>
    <row r="847" spans="1:4" x14ac:dyDescent="0.25">
      <c r="A847" t="str">
        <f>T("   KP")</f>
        <v xml:space="preserve">   KP</v>
      </c>
      <c r="B847" t="str">
        <f>T("   Corée, Rép. Populaire Démocratique")</f>
        <v xml:space="preserve">   Corée, Rép. Populaire Démocratique</v>
      </c>
      <c r="C847">
        <v>3250000</v>
      </c>
      <c r="D847">
        <v>65000</v>
      </c>
    </row>
    <row r="848" spans="1:4" x14ac:dyDescent="0.25">
      <c r="A848" t="str">
        <f>T("   KR")</f>
        <v xml:space="preserve">   KR</v>
      </c>
      <c r="B848" t="str">
        <f>T("   Corée, République de")</f>
        <v xml:space="preserve">   Corée, République de</v>
      </c>
      <c r="C848">
        <v>6250000</v>
      </c>
      <c r="D848">
        <v>125000</v>
      </c>
    </row>
    <row r="849" spans="1:4" x14ac:dyDescent="0.25">
      <c r="A849" t="str">
        <f>T("   NL")</f>
        <v xml:space="preserve">   NL</v>
      </c>
      <c r="B849" t="str">
        <f>T("   Pays-bas")</f>
        <v xml:space="preserve">   Pays-bas</v>
      </c>
      <c r="C849">
        <v>750000</v>
      </c>
      <c r="D849">
        <v>15000</v>
      </c>
    </row>
    <row r="850" spans="1:4" x14ac:dyDescent="0.25">
      <c r="A850" t="str">
        <f>T("   PK")</f>
        <v xml:space="preserve">   PK</v>
      </c>
      <c r="B850" t="str">
        <f>T("   Pakistan")</f>
        <v xml:space="preserve">   Pakistan</v>
      </c>
      <c r="C850">
        <v>10250000</v>
      </c>
      <c r="D850">
        <v>205000</v>
      </c>
    </row>
    <row r="851" spans="1:4" x14ac:dyDescent="0.25">
      <c r="A851" t="str">
        <f>T("   TG")</f>
        <v xml:space="preserve">   TG</v>
      </c>
      <c r="B851" t="str">
        <f>T("   Togo")</f>
        <v xml:space="preserve">   Togo</v>
      </c>
      <c r="C851">
        <v>250000</v>
      </c>
      <c r="D851">
        <v>2500</v>
      </c>
    </row>
    <row r="852" spans="1:4" x14ac:dyDescent="0.25">
      <c r="A852" t="str">
        <f>T("   TW")</f>
        <v xml:space="preserve">   TW</v>
      </c>
      <c r="B852" t="str">
        <f>T("   Taïwan, Province de Chine")</f>
        <v xml:space="preserve">   Taïwan, Province de Chine</v>
      </c>
      <c r="C852">
        <v>750000</v>
      </c>
      <c r="D852">
        <v>15000</v>
      </c>
    </row>
    <row r="853" spans="1:4" x14ac:dyDescent="0.25">
      <c r="A853" t="str">
        <f>T("   VN")</f>
        <v xml:space="preserve">   VN</v>
      </c>
      <c r="B853" t="str">
        <f>T("   Vietnam")</f>
        <v xml:space="preserve">   Vietnam</v>
      </c>
      <c r="C853">
        <v>5000000</v>
      </c>
      <c r="D853">
        <v>100000</v>
      </c>
    </row>
    <row r="854" spans="1:4" x14ac:dyDescent="0.25">
      <c r="A854" t="str">
        <f>T("720449")</f>
        <v>720449</v>
      </c>
      <c r="B854" t="str">
        <f>T("DÉCHETS ET DÉBRIS DE FER OU D'ACIER [FERRAILLES] (SAUF DÉCHETS ET DÉBRIS RADIOACTIFS ET DE PILES, DE BATTERIES DE PILES ET D'ACCUMULATEURS ÉLECTRIQUES; SCORIES, LAITIERS ET AUTRES DÉCHETS DE LA FABRICATION DU FER OU DE L'ACIER; MORCEAUX PROVENANT DU BRIS")</f>
        <v>DÉCHETS ET DÉBRIS DE FER OU D'ACIER [FERRAILLES] (SAUF DÉCHETS ET DÉBRIS RADIOACTIFS ET DE PILES, DE BATTERIES DE PILES ET D'ACCUMULATEURS ÉLECTRIQUES; SCORIES, LAITIERS ET AUTRES DÉCHETS DE LA FABRICATION DU FER OU DE L'ACIER; MORCEAUX PROVENANT DU BRIS</v>
      </c>
    </row>
    <row r="855" spans="1:4" x14ac:dyDescent="0.25">
      <c r="A855" t="str">
        <f>T("   ZZZ_Monde")</f>
        <v xml:space="preserve">   ZZZ_Monde</v>
      </c>
      <c r="B855" t="str">
        <f>T("   ZZZ_Monde")</f>
        <v xml:space="preserve">   ZZZ_Monde</v>
      </c>
      <c r="C855">
        <v>109742000</v>
      </c>
      <c r="D855">
        <v>2194840</v>
      </c>
    </row>
    <row r="856" spans="1:4" x14ac:dyDescent="0.25">
      <c r="A856" t="str">
        <f>T("   AE")</f>
        <v xml:space="preserve">   AE</v>
      </c>
      <c r="B856" t="str">
        <f>T("   Emirats Arabes Unis")</f>
        <v xml:space="preserve">   Emirats Arabes Unis</v>
      </c>
      <c r="C856">
        <v>4500000</v>
      </c>
      <c r="D856">
        <v>90000</v>
      </c>
    </row>
    <row r="857" spans="1:4" x14ac:dyDescent="0.25">
      <c r="A857" t="str">
        <f>T("   CH")</f>
        <v xml:space="preserve">   CH</v>
      </c>
      <c r="B857" t="str">
        <f>T("   Suisse")</f>
        <v xml:space="preserve">   Suisse</v>
      </c>
      <c r="C857">
        <v>6500000</v>
      </c>
      <c r="D857">
        <v>130000</v>
      </c>
    </row>
    <row r="858" spans="1:4" x14ac:dyDescent="0.25">
      <c r="A858" t="str">
        <f>T("   CN")</f>
        <v xml:space="preserve">   CN</v>
      </c>
      <c r="B858" t="str">
        <f>T("   Chine")</f>
        <v xml:space="preserve">   Chine</v>
      </c>
      <c r="C858">
        <v>51492000</v>
      </c>
      <c r="D858">
        <v>1029840</v>
      </c>
    </row>
    <row r="859" spans="1:4" x14ac:dyDescent="0.25">
      <c r="A859" t="str">
        <f>T("   DE")</f>
        <v xml:space="preserve">   DE</v>
      </c>
      <c r="B859" t="str">
        <f>T("   Allemagne")</f>
        <v xml:space="preserve">   Allemagne</v>
      </c>
      <c r="C859">
        <v>500000</v>
      </c>
      <c r="D859">
        <v>10000</v>
      </c>
    </row>
    <row r="860" spans="1:4" x14ac:dyDescent="0.25">
      <c r="A860" t="str">
        <f>T("   ID")</f>
        <v xml:space="preserve">   ID</v>
      </c>
      <c r="B860" t="str">
        <f>T("   Indonésie")</f>
        <v xml:space="preserve">   Indonésie</v>
      </c>
      <c r="C860">
        <v>7000000</v>
      </c>
      <c r="D860">
        <v>140000</v>
      </c>
    </row>
    <row r="861" spans="1:4" x14ac:dyDescent="0.25">
      <c r="A861" t="str">
        <f>T("   IN")</f>
        <v xml:space="preserve">   IN</v>
      </c>
      <c r="B861" t="str">
        <f>T("   Inde")</f>
        <v xml:space="preserve">   Inde</v>
      </c>
      <c r="C861">
        <v>36100000</v>
      </c>
      <c r="D861">
        <v>722000</v>
      </c>
    </row>
    <row r="862" spans="1:4" x14ac:dyDescent="0.25">
      <c r="A862" t="str">
        <f>T("   KR")</f>
        <v xml:space="preserve">   KR</v>
      </c>
      <c r="B862" t="str">
        <f>T("   Corée, République de")</f>
        <v xml:space="preserve">   Corée, République de</v>
      </c>
      <c r="C862">
        <v>2500000</v>
      </c>
      <c r="D862">
        <v>50000</v>
      </c>
    </row>
    <row r="863" spans="1:4" x14ac:dyDescent="0.25">
      <c r="A863" t="str">
        <f>T("   SE")</f>
        <v xml:space="preserve">   SE</v>
      </c>
      <c r="B863" t="str">
        <f>T("   Suède")</f>
        <v xml:space="preserve">   Suède</v>
      </c>
      <c r="C863">
        <v>1150000</v>
      </c>
      <c r="D863">
        <v>23000</v>
      </c>
    </row>
    <row r="864" spans="1:4" x14ac:dyDescent="0.25">
      <c r="A864" t="str">
        <f>T("720851")</f>
        <v>720851</v>
      </c>
      <c r="B864" t="str">
        <f>T("PRODUITS LAMINÉS PLATS, EN FER OU EN ACIERS NON-ALLIÉS, D'UNE LARGEUR &gt;= 600 MM, NON-ENROULÉS, SIMPL. LAMINÉS À CHAUD, NON-PLAQUÉS NI REVÊTUS, ÉPAISSEUR &gt; 10 MM (SANS MOTIFS EN RELIEF)")</f>
        <v>PRODUITS LAMINÉS PLATS, EN FER OU EN ACIERS NON-ALLIÉS, D'UNE LARGEUR &gt;= 600 MM, NON-ENROULÉS, SIMPL. LAMINÉS À CHAUD, NON-PLAQUÉS NI REVÊTUS, ÉPAISSEUR &gt; 10 MM (SANS MOTIFS EN RELIEF)</v>
      </c>
    </row>
    <row r="865" spans="1:4" x14ac:dyDescent="0.25">
      <c r="A865" t="str">
        <f>T("   ZZZ_Monde")</f>
        <v xml:space="preserve">   ZZZ_Monde</v>
      </c>
      <c r="B865" t="str">
        <f>T("   ZZZ_Monde")</f>
        <v xml:space="preserve">   ZZZ_Monde</v>
      </c>
      <c r="C865">
        <v>24460000</v>
      </c>
      <c r="D865">
        <v>48920</v>
      </c>
    </row>
    <row r="866" spans="1:4" x14ac:dyDescent="0.25">
      <c r="A866" t="str">
        <f>T("   TD")</f>
        <v xml:space="preserve">   TD</v>
      </c>
      <c r="B866" t="str">
        <f>T("   Tchad")</f>
        <v xml:space="preserve">   Tchad</v>
      </c>
      <c r="C866">
        <v>24460000</v>
      </c>
      <c r="D866">
        <v>48920</v>
      </c>
    </row>
    <row r="867" spans="1:4" x14ac:dyDescent="0.25">
      <c r="A867" t="str">
        <f>T("720917")</f>
        <v>720917</v>
      </c>
      <c r="B867" t="str">
        <f>T("PRODUITS LAMINÉS PLATS, EN FER OU EN ACIERS NON-ALLIÉS, D'UNE LARGEUR &gt;= 600 MM, NON-PLAQUÉS NI REVÊTUS, ENROULÉS, SIMPL. LAMINÉS À FROID, D'UNE ÉPAISSEUR &gt;= 0,5 MM MAIS &lt;= 1 MM")</f>
        <v>PRODUITS LAMINÉS PLATS, EN FER OU EN ACIERS NON-ALLIÉS, D'UNE LARGEUR &gt;= 600 MM, NON-PLAQUÉS NI REVÊTUS, ENROULÉS, SIMPL. LAMINÉS À FROID, D'UNE ÉPAISSEUR &gt;= 0,5 MM MAIS &lt;= 1 MM</v>
      </c>
    </row>
    <row r="868" spans="1:4" x14ac:dyDescent="0.25">
      <c r="A868" t="str">
        <f>T("   ZZZ_Monde")</f>
        <v xml:space="preserve">   ZZZ_Monde</v>
      </c>
      <c r="B868" t="str">
        <f>T("   ZZZ_Monde")</f>
        <v xml:space="preserve">   ZZZ_Monde</v>
      </c>
      <c r="C868">
        <v>184135700</v>
      </c>
      <c r="D868">
        <v>411620</v>
      </c>
    </row>
    <row r="869" spans="1:4" x14ac:dyDescent="0.25">
      <c r="A869" t="str">
        <f>T("   BF")</f>
        <v xml:space="preserve">   BF</v>
      </c>
      <c r="B869" t="str">
        <f>T("   Burkina Faso")</f>
        <v xml:space="preserve">   Burkina Faso</v>
      </c>
      <c r="C869">
        <v>28934560</v>
      </c>
      <c r="D869">
        <v>80000</v>
      </c>
    </row>
    <row r="870" spans="1:4" x14ac:dyDescent="0.25">
      <c r="A870" t="str">
        <f>T("   TD")</f>
        <v xml:space="preserve">   TD</v>
      </c>
      <c r="B870" t="str">
        <f>T("   Tchad")</f>
        <v xml:space="preserve">   Tchad</v>
      </c>
      <c r="C870">
        <v>155201140</v>
      </c>
      <c r="D870">
        <v>331620</v>
      </c>
    </row>
    <row r="871" spans="1:4" x14ac:dyDescent="0.25">
      <c r="A871" t="str">
        <f>T("720990")</f>
        <v>720990</v>
      </c>
      <c r="B871" t="str">
        <f>T("PRODUITS LAMINÉS PLATS, EN FER OU EN ACIER, D'UNE LARGEUR &gt;= 600 MM, LAMINÉS À FROID ET AYANT SUBI CERTAINES OUVRAISONS PLUS POUSSÉES, MAIS NON-PLAQUÉS NI REVÊTUS")</f>
        <v>PRODUITS LAMINÉS PLATS, EN FER OU EN ACIER, D'UNE LARGEUR &gt;= 600 MM, LAMINÉS À FROID ET AYANT SUBI CERTAINES OUVRAISONS PLUS POUSSÉES, MAIS NON-PLAQUÉS NI REVÊTUS</v>
      </c>
    </row>
    <row r="872" spans="1:4" x14ac:dyDescent="0.25">
      <c r="A872" t="str">
        <f>T("   ZZZ_Monde")</f>
        <v xml:space="preserve">   ZZZ_Monde</v>
      </c>
      <c r="B872" t="str">
        <f>T("   ZZZ_Monde")</f>
        <v xml:space="preserve">   ZZZ_Monde</v>
      </c>
      <c r="C872">
        <v>12499050</v>
      </c>
      <c r="D872">
        <v>25000</v>
      </c>
    </row>
    <row r="873" spans="1:4" x14ac:dyDescent="0.25">
      <c r="A873" t="str">
        <f>T("   TD")</f>
        <v xml:space="preserve">   TD</v>
      </c>
      <c r="B873" t="str">
        <f>T("   Tchad")</f>
        <v xml:space="preserve">   Tchad</v>
      </c>
      <c r="C873">
        <v>12499050</v>
      </c>
      <c r="D873">
        <v>25000</v>
      </c>
    </row>
    <row r="874" spans="1:4" x14ac:dyDescent="0.25">
      <c r="A874" t="str">
        <f>T("721041")</f>
        <v>721041</v>
      </c>
      <c r="B874" t="str">
        <f>T("Produits laminés plats, en fer ou en aciers non alliés, d'une largeur &gt;= 600 mm, laminés à chaud ou à froid, zingués, ondulés (à l'excl. des produits zingués électrolytiquement)")</f>
        <v>Produits laminés plats, en fer ou en aciers non alliés, d'une largeur &gt;= 600 mm, laminés à chaud ou à froid, zingués, ondulés (à l'excl. des produits zingués électrolytiquement)</v>
      </c>
    </row>
    <row r="875" spans="1:4" x14ac:dyDescent="0.25">
      <c r="A875" t="str">
        <f>T("   ZZZ_Monde")</f>
        <v xml:space="preserve">   ZZZ_Monde</v>
      </c>
      <c r="B875" t="str">
        <f>T("   ZZZ_Monde")</f>
        <v xml:space="preserve">   ZZZ_Monde</v>
      </c>
      <c r="C875">
        <v>280106021</v>
      </c>
      <c r="D875">
        <v>699935</v>
      </c>
    </row>
    <row r="876" spans="1:4" x14ac:dyDescent="0.25">
      <c r="A876" t="str">
        <f>T("   BF")</f>
        <v xml:space="preserve">   BF</v>
      </c>
      <c r="B876" t="str">
        <f>T("   Burkina Faso")</f>
        <v xml:space="preserve">   Burkina Faso</v>
      </c>
      <c r="C876">
        <v>8460000</v>
      </c>
      <c r="D876">
        <v>20010</v>
      </c>
    </row>
    <row r="877" spans="1:4" x14ac:dyDescent="0.25">
      <c r="A877" t="str">
        <f>T("   NG")</f>
        <v xml:space="preserve">   NG</v>
      </c>
      <c r="B877" t="str">
        <f>T("   Nigéria")</f>
        <v xml:space="preserve">   Nigéria</v>
      </c>
      <c r="C877">
        <v>271646021</v>
      </c>
      <c r="D877">
        <v>679925</v>
      </c>
    </row>
    <row r="878" spans="1:4" x14ac:dyDescent="0.25">
      <c r="A878" t="str">
        <f>T("721049")</f>
        <v>721049</v>
      </c>
      <c r="B878" t="str">
        <f>T("Produits laminés plats, en fer ou en aciers non alliés, d'une largeur &gt;= 600 mm, laminés à chaud ou à froid, zingués, non ondulés (à l'excl. des produits zingués électrolytiquement)")</f>
        <v>Produits laminés plats, en fer ou en aciers non alliés, d'une largeur &gt;= 600 mm, laminés à chaud ou à froid, zingués, non ondulés (à l'excl. des produits zingués électrolytiquement)</v>
      </c>
    </row>
    <row r="879" spans="1:4" x14ac:dyDescent="0.25">
      <c r="A879" t="str">
        <f>T("   ZZZ_Monde")</f>
        <v xml:space="preserve">   ZZZ_Monde</v>
      </c>
      <c r="B879" t="str">
        <f>T("   ZZZ_Monde")</f>
        <v xml:space="preserve">   ZZZ_Monde</v>
      </c>
      <c r="C879">
        <v>11148644</v>
      </c>
      <c r="D879">
        <v>20000</v>
      </c>
    </row>
    <row r="880" spans="1:4" x14ac:dyDescent="0.25">
      <c r="A880" t="str">
        <f>T("   TD")</f>
        <v xml:space="preserve">   TD</v>
      </c>
      <c r="B880" t="str">
        <f>T("   Tchad")</f>
        <v xml:space="preserve">   Tchad</v>
      </c>
      <c r="C880">
        <v>11148644</v>
      </c>
      <c r="D880">
        <v>20000</v>
      </c>
    </row>
    <row r="881" spans="1:4" x14ac:dyDescent="0.25">
      <c r="A881" t="str">
        <f>T("721070")</f>
        <v>721070</v>
      </c>
      <c r="B881" t="str">
        <f>T("PRODUITS LAMINÉS PLATS, EN FER OU EN ACIERS NON-ALLIÉS, D'UNE LARGEUR &gt;= 600 MM, LAMINÉS À CHAUD OU À FROID, PEINTS, VERNIS OU REVÊTUS DE MATIÈRES PLASTIQUES")</f>
        <v>PRODUITS LAMINÉS PLATS, EN FER OU EN ACIERS NON-ALLIÉS, D'UNE LARGEUR &gt;= 600 MM, LAMINÉS À CHAUD OU À FROID, PEINTS, VERNIS OU REVÊTUS DE MATIÈRES PLASTIQUES</v>
      </c>
    </row>
    <row r="882" spans="1:4" x14ac:dyDescent="0.25">
      <c r="A882" t="str">
        <f>T("   ZZZ_Monde")</f>
        <v xml:space="preserve">   ZZZ_Monde</v>
      </c>
      <c r="B882" t="str">
        <f>T("   ZZZ_Monde")</f>
        <v xml:space="preserve">   ZZZ_Monde</v>
      </c>
      <c r="C882">
        <v>2785475</v>
      </c>
      <c r="D882">
        <v>5000</v>
      </c>
    </row>
    <row r="883" spans="1:4" x14ac:dyDescent="0.25">
      <c r="A883" t="str">
        <f>T("   BF")</f>
        <v xml:space="preserve">   BF</v>
      </c>
      <c r="B883" t="str">
        <f>T("   Burkina Faso")</f>
        <v xml:space="preserve">   Burkina Faso</v>
      </c>
      <c r="C883">
        <v>2785475</v>
      </c>
      <c r="D883">
        <v>5000</v>
      </c>
    </row>
    <row r="884" spans="1:4" x14ac:dyDescent="0.25">
      <c r="A884" t="str">
        <f>T("721090")</f>
        <v>721090</v>
      </c>
      <c r="B884" t="str">
        <f>T("PRODUITS LAMINÉS PLATS, EN FER OU EN ACIERS NON-ALLIÉS, D'UNE LARGEUR &gt;= 600 MM, LAMINÉS À CHAUD OU À FROID, PLAQUÉS OU REVÊTUS (À L'EXCL. DES PRODUITS ÉTAMÉS, PLOMBÉS, ZINGUÉS, PEINTS, VERNIS OU REVÊTUS D'ALUMINIUM, DE MATIÈRES PLASTIQUES OU D'OXYDES DE")</f>
        <v>PRODUITS LAMINÉS PLATS, EN FER OU EN ACIERS NON-ALLIÉS, D'UNE LARGEUR &gt;= 600 MM, LAMINÉS À CHAUD OU À FROID, PLAQUÉS OU REVÊTUS (À L'EXCL. DES PRODUITS ÉTAMÉS, PLOMBÉS, ZINGUÉS, PEINTS, VERNIS OU REVÊTUS D'ALUMINIUM, DE MATIÈRES PLASTIQUES OU D'OXYDES DE</v>
      </c>
    </row>
    <row r="885" spans="1:4" x14ac:dyDescent="0.25">
      <c r="A885" t="str">
        <f>T("   ZZZ_Monde")</f>
        <v xml:space="preserve">   ZZZ_Monde</v>
      </c>
      <c r="B885" t="str">
        <f>T("   ZZZ_Monde")</f>
        <v xml:space="preserve">   ZZZ_Monde</v>
      </c>
      <c r="C885">
        <v>500000</v>
      </c>
      <c r="D885">
        <v>10000</v>
      </c>
    </row>
    <row r="886" spans="1:4" x14ac:dyDescent="0.25">
      <c r="A886" t="str">
        <f>T("   CN")</f>
        <v xml:space="preserve">   CN</v>
      </c>
      <c r="B886" t="str">
        <f>T("   Chine")</f>
        <v xml:space="preserve">   Chine</v>
      </c>
      <c r="C886">
        <v>500000</v>
      </c>
      <c r="D886">
        <v>10000</v>
      </c>
    </row>
    <row r="887" spans="1:4" x14ac:dyDescent="0.25">
      <c r="A887" t="str">
        <f>T("721391")</f>
        <v>721391</v>
      </c>
      <c r="B887" t="str">
        <f>T("FIL MACHINE EN FER OU ACIERS NON-ALLIÉS, ENROULÉ EN COURONNES IRRÉGULIÈRES, DE SECTION CIRCULAIRE DE DIAMÈTRE &lt; 14 MM (AUTRE QU'EN ACIERS DE DÉCOLLETAGE ET AUTRE QUE FIL MACHINE AVEC INDENTATIONS, BOURRELETS, CREUX OU RELIEFS OBTENUS LORS DU LAMINAGE)")</f>
        <v>FIL MACHINE EN FER OU ACIERS NON-ALLIÉS, ENROULÉ EN COURONNES IRRÉGULIÈRES, DE SECTION CIRCULAIRE DE DIAMÈTRE &lt; 14 MM (AUTRE QU'EN ACIERS DE DÉCOLLETAGE ET AUTRE QUE FIL MACHINE AVEC INDENTATIONS, BOURRELETS, CREUX OU RELIEFS OBTENUS LORS DU LAMINAGE)</v>
      </c>
    </row>
    <row r="888" spans="1:4" x14ac:dyDescent="0.25">
      <c r="A888" t="str">
        <f>T("   ZZZ_Monde")</f>
        <v xml:space="preserve">   ZZZ_Monde</v>
      </c>
      <c r="B888" t="str">
        <f>T("   ZZZ_Monde")</f>
        <v xml:space="preserve">   ZZZ_Monde</v>
      </c>
      <c r="C888">
        <v>5610366929</v>
      </c>
      <c r="D888">
        <v>19795387</v>
      </c>
    </row>
    <row r="889" spans="1:4" x14ac:dyDescent="0.25">
      <c r="A889" t="str">
        <f>T("   BF")</f>
        <v xml:space="preserve">   BF</v>
      </c>
      <c r="B889" t="str">
        <f>T("   Burkina Faso")</f>
        <v xml:space="preserve">   Burkina Faso</v>
      </c>
      <c r="C889">
        <v>27716424</v>
      </c>
      <c r="D889">
        <v>101084</v>
      </c>
    </row>
    <row r="890" spans="1:4" x14ac:dyDescent="0.25">
      <c r="A890" t="str">
        <f>T("   NE")</f>
        <v xml:space="preserve">   NE</v>
      </c>
      <c r="B890" t="str">
        <f>T("   Niger")</f>
        <v xml:space="preserve">   Niger</v>
      </c>
      <c r="C890">
        <v>120698281</v>
      </c>
      <c r="D890">
        <v>424000</v>
      </c>
    </row>
    <row r="891" spans="1:4" x14ac:dyDescent="0.25">
      <c r="A891" t="str">
        <f>T("   NG")</f>
        <v xml:space="preserve">   NG</v>
      </c>
      <c r="B891" t="str">
        <f>T("   Nigéria")</f>
        <v xml:space="preserve">   Nigéria</v>
      </c>
      <c r="C891">
        <v>1953404528</v>
      </c>
      <c r="D891">
        <v>6893000</v>
      </c>
    </row>
    <row r="892" spans="1:4" x14ac:dyDescent="0.25">
      <c r="A892" t="str">
        <f>T("   TD")</f>
        <v xml:space="preserve">   TD</v>
      </c>
      <c r="B892" t="str">
        <f>T("   Tchad")</f>
        <v xml:space="preserve">   Tchad</v>
      </c>
      <c r="C892">
        <v>3460413934</v>
      </c>
      <c r="D892">
        <v>12176000</v>
      </c>
    </row>
    <row r="893" spans="1:4" x14ac:dyDescent="0.25">
      <c r="A893" t="str">
        <f>T("   TG")</f>
        <v xml:space="preserve">   TG</v>
      </c>
      <c r="B893" t="str">
        <f>T("   Togo")</f>
        <v xml:space="preserve">   Togo</v>
      </c>
      <c r="C893">
        <v>48133762</v>
      </c>
      <c r="D893">
        <v>201303</v>
      </c>
    </row>
    <row r="894" spans="1:4" x14ac:dyDescent="0.25">
      <c r="A894" t="str">
        <f>T("721420")</f>
        <v>721420</v>
      </c>
      <c r="B894" t="str">
        <f>T("BARRES EN FER OU EN ACIERS NON ALLIÉS, COMPORTANT DES INDENTATIONS, BOURRELETS, CREUX OU RELIEFS OBTENUS AU COURS DU LAMINAGE OU AYANT SUBI UNE TORSION APRÈS LAMINAGE")</f>
        <v>BARRES EN FER OU EN ACIERS NON ALLIÉS, COMPORTANT DES INDENTATIONS, BOURRELETS, CREUX OU RELIEFS OBTENUS AU COURS DU LAMINAGE OU AYANT SUBI UNE TORSION APRÈS LAMINAGE</v>
      </c>
    </row>
    <row r="895" spans="1:4" x14ac:dyDescent="0.25">
      <c r="A895" t="str">
        <f>T("   ZZZ_Monde")</f>
        <v xml:space="preserve">   ZZZ_Monde</v>
      </c>
      <c r="B895" t="str">
        <f>T("   ZZZ_Monde")</f>
        <v xml:space="preserve">   ZZZ_Monde</v>
      </c>
      <c r="C895">
        <v>70085119</v>
      </c>
      <c r="D895">
        <v>270000</v>
      </c>
    </row>
    <row r="896" spans="1:4" x14ac:dyDescent="0.25">
      <c r="A896" t="str">
        <f>T("   NG")</f>
        <v xml:space="preserve">   NG</v>
      </c>
      <c r="B896" t="str">
        <f>T("   Nigéria")</f>
        <v xml:space="preserve">   Nigéria</v>
      </c>
      <c r="C896">
        <v>70085119</v>
      </c>
      <c r="D896">
        <v>270000</v>
      </c>
    </row>
    <row r="897" spans="1:4" x14ac:dyDescent="0.25">
      <c r="A897" t="str">
        <f>T("721590")</f>
        <v>721590</v>
      </c>
      <c r="B897" t="str">
        <f>T("Barres en fer ou en aciers non alliés, obtenues ou parachevées à froid et ayant subi certaines ouvraisons plus poussées ou obtenues à chaud et ayant subi certaines ouvraisons plus poussées, n.d.a.")</f>
        <v>Barres en fer ou en aciers non alliés, obtenues ou parachevées à froid et ayant subi certaines ouvraisons plus poussées ou obtenues à chaud et ayant subi certaines ouvraisons plus poussées, n.d.a.</v>
      </c>
    </row>
    <row r="898" spans="1:4" x14ac:dyDescent="0.25">
      <c r="A898" t="str">
        <f>T("   ZZZ_Monde")</f>
        <v xml:space="preserve">   ZZZ_Monde</v>
      </c>
      <c r="B898" t="str">
        <f>T("   ZZZ_Monde")</f>
        <v xml:space="preserve">   ZZZ_Monde</v>
      </c>
      <c r="C898">
        <v>6805433467</v>
      </c>
      <c r="D898">
        <v>19426545</v>
      </c>
    </row>
    <row r="899" spans="1:4" x14ac:dyDescent="0.25">
      <c r="A899" t="str">
        <f>T("   NE")</f>
        <v xml:space="preserve">   NE</v>
      </c>
      <c r="B899" t="str">
        <f>T("   Niger")</f>
        <v xml:space="preserve">   Niger</v>
      </c>
      <c r="C899">
        <v>741680000</v>
      </c>
      <c r="D899">
        <v>3361000</v>
      </c>
    </row>
    <row r="900" spans="1:4" x14ac:dyDescent="0.25">
      <c r="A900" t="str">
        <f>T("   NG")</f>
        <v xml:space="preserve">   NG</v>
      </c>
      <c r="B900" t="str">
        <f>T("   Nigéria")</f>
        <v xml:space="preserve">   Nigéria</v>
      </c>
      <c r="C900">
        <v>1285170000</v>
      </c>
      <c r="D900">
        <v>3786010</v>
      </c>
    </row>
    <row r="901" spans="1:4" x14ac:dyDescent="0.25">
      <c r="A901" t="str">
        <f>T("   TD")</f>
        <v xml:space="preserve">   TD</v>
      </c>
      <c r="B901" t="str">
        <f>T("   Tchad")</f>
        <v xml:space="preserve">   Tchad</v>
      </c>
      <c r="C901">
        <v>4778583467</v>
      </c>
      <c r="D901">
        <v>12279535</v>
      </c>
    </row>
    <row r="902" spans="1:4" x14ac:dyDescent="0.25">
      <c r="A902" t="str">
        <f>T("721650")</f>
        <v>721650</v>
      </c>
      <c r="B902" t="str">
        <f>T("PROFILÉS, EN FER OU EN ACIERS NON-ALLIÉS, SIMPL. LAMINÉS OU FILÉS À CHAUD (À L'EXCL. DES PROFILÉS EN U, EN I, EN H, EN L OU EN T)")</f>
        <v>PROFILÉS, EN FER OU EN ACIERS NON-ALLIÉS, SIMPL. LAMINÉS OU FILÉS À CHAUD (À L'EXCL. DES PROFILÉS EN U, EN I, EN H, EN L OU EN T)</v>
      </c>
    </row>
    <row r="903" spans="1:4" x14ac:dyDescent="0.25">
      <c r="A903" t="str">
        <f>T("   ZZZ_Monde")</f>
        <v xml:space="preserve">   ZZZ_Monde</v>
      </c>
      <c r="B903" t="str">
        <f>T("   ZZZ_Monde")</f>
        <v xml:space="preserve">   ZZZ_Monde</v>
      </c>
      <c r="C903">
        <v>12750000</v>
      </c>
      <c r="D903">
        <v>25000</v>
      </c>
    </row>
    <row r="904" spans="1:4" x14ac:dyDescent="0.25">
      <c r="A904" t="str">
        <f>T("   TD")</f>
        <v xml:space="preserve">   TD</v>
      </c>
      <c r="B904" t="str">
        <f>T("   Tchad")</f>
        <v xml:space="preserve">   Tchad</v>
      </c>
      <c r="C904">
        <v>12750000</v>
      </c>
      <c r="D904">
        <v>25000</v>
      </c>
    </row>
    <row r="905" spans="1:4" x14ac:dyDescent="0.25">
      <c r="A905" t="str">
        <f>T("721720")</f>
        <v>721720</v>
      </c>
      <c r="B905" t="str">
        <f>T("FILS EN FER OU EN ACIERS NON-ALLIÉS, ENROULÉS, ZINGUÉS (À L'EXCL. DU FIL MACHINE)")</f>
        <v>FILS EN FER OU EN ACIERS NON-ALLIÉS, ENROULÉS, ZINGUÉS (À L'EXCL. DU FIL MACHINE)</v>
      </c>
    </row>
    <row r="906" spans="1:4" x14ac:dyDescent="0.25">
      <c r="A906" t="str">
        <f>T("   ZZZ_Monde")</f>
        <v xml:space="preserve">   ZZZ_Monde</v>
      </c>
      <c r="B906" t="str">
        <f>T("   ZZZ_Monde")</f>
        <v xml:space="preserve">   ZZZ_Monde</v>
      </c>
      <c r="C906">
        <v>13788446</v>
      </c>
      <c r="D906">
        <v>19701.84</v>
      </c>
    </row>
    <row r="907" spans="1:4" x14ac:dyDescent="0.25">
      <c r="A907" t="str">
        <f>T("   CN")</f>
        <v xml:space="preserve">   CN</v>
      </c>
      <c r="B907" t="str">
        <f>T("   Chine")</f>
        <v xml:space="preserve">   Chine</v>
      </c>
      <c r="C907">
        <v>13788446</v>
      </c>
      <c r="D907">
        <v>19701.84</v>
      </c>
    </row>
    <row r="908" spans="1:4" x14ac:dyDescent="0.25">
      <c r="A908" t="str">
        <f>T("721730")</f>
        <v>721730</v>
      </c>
      <c r="B908" t="str">
        <f>T("FILS EN FER OU EN ACIERS NON-ALLIÉS, ENROULÉS, REVÊTUS DE MÉTAUX COMMUNS (À L'EXCL. DES FILS ZINGUÉS AINSI QUE DU FIL MACHINE)")</f>
        <v>FILS EN FER OU EN ACIERS NON-ALLIÉS, ENROULÉS, REVÊTUS DE MÉTAUX COMMUNS (À L'EXCL. DES FILS ZINGUÉS AINSI QUE DU FIL MACHINE)</v>
      </c>
    </row>
    <row r="909" spans="1:4" x14ac:dyDescent="0.25">
      <c r="A909" t="str">
        <f>T("   ZZZ_Monde")</f>
        <v xml:space="preserve">   ZZZ_Monde</v>
      </c>
      <c r="B909" t="str">
        <f>T("   ZZZ_Monde")</f>
        <v xml:space="preserve">   ZZZ_Monde</v>
      </c>
      <c r="C909">
        <v>72187118</v>
      </c>
      <c r="D909">
        <v>148318</v>
      </c>
    </row>
    <row r="910" spans="1:4" x14ac:dyDescent="0.25">
      <c r="A910" t="str">
        <f>T("   CN")</f>
        <v xml:space="preserve">   CN</v>
      </c>
      <c r="B910" t="str">
        <f>T("   Chine")</f>
        <v xml:space="preserve">   Chine</v>
      </c>
      <c r="C910">
        <v>47098370</v>
      </c>
      <c r="D910">
        <v>101486</v>
      </c>
    </row>
    <row r="911" spans="1:4" x14ac:dyDescent="0.25">
      <c r="A911" t="str">
        <f>T("   GH")</f>
        <v xml:space="preserve">   GH</v>
      </c>
      <c r="B911" t="str">
        <f>T("   Ghana")</f>
        <v xml:space="preserve">   Ghana</v>
      </c>
      <c r="C911">
        <v>11984902</v>
      </c>
      <c r="D911">
        <v>19384</v>
      </c>
    </row>
    <row r="912" spans="1:4" x14ac:dyDescent="0.25">
      <c r="A912" t="str">
        <f>T("   ID")</f>
        <v xml:space="preserve">   ID</v>
      </c>
      <c r="B912" t="str">
        <f>T("   Indonésie")</f>
        <v xml:space="preserve">   Indonésie</v>
      </c>
      <c r="C912">
        <v>10145201</v>
      </c>
      <c r="D912">
        <v>20996</v>
      </c>
    </row>
    <row r="913" spans="1:4" x14ac:dyDescent="0.25">
      <c r="A913" t="str">
        <f>T("   MY")</f>
        <v xml:space="preserve">   MY</v>
      </c>
      <c r="B913" t="str">
        <f>T("   Malaisie")</f>
        <v xml:space="preserve">   Malaisie</v>
      </c>
      <c r="C913">
        <v>751195</v>
      </c>
      <c r="D913">
        <v>1627</v>
      </c>
    </row>
    <row r="914" spans="1:4" x14ac:dyDescent="0.25">
      <c r="A914" t="str">
        <f>T("   NE")</f>
        <v xml:space="preserve">   NE</v>
      </c>
      <c r="B914" t="str">
        <f>T("   Niger")</f>
        <v xml:space="preserve">   Niger</v>
      </c>
      <c r="C914">
        <v>715257</v>
      </c>
      <c r="D914">
        <v>1593</v>
      </c>
    </row>
    <row r="915" spans="1:4" x14ac:dyDescent="0.25">
      <c r="A915" t="str">
        <f>T("   TN")</f>
        <v xml:space="preserve">   TN</v>
      </c>
      <c r="B915" t="str">
        <f>T("   Tunisie")</f>
        <v xml:space="preserve">   Tunisie</v>
      </c>
      <c r="C915">
        <v>373898</v>
      </c>
      <c r="D915">
        <v>810</v>
      </c>
    </row>
    <row r="916" spans="1:4" x14ac:dyDescent="0.25">
      <c r="A916" t="str">
        <f>T("   VN")</f>
        <v xml:space="preserve">   VN</v>
      </c>
      <c r="B916" t="str">
        <f>T("   Vietnam")</f>
        <v xml:space="preserve">   Vietnam</v>
      </c>
      <c r="C916">
        <v>1118295</v>
      </c>
      <c r="D916">
        <v>2422</v>
      </c>
    </row>
    <row r="917" spans="1:4" x14ac:dyDescent="0.25">
      <c r="A917" t="str">
        <f>T("721790")</f>
        <v>721790</v>
      </c>
      <c r="B917" t="str">
        <f>T("FILS EN FER OU EN ACIERS NON-ALLIÉS, ENROULÉS, REVÊTUS (À L'EXCL. DU FIL MACHINE AINSI QUE DES FILS REVÊTUS DE MÉTAUX COMMUNS)")</f>
        <v>FILS EN FER OU EN ACIERS NON-ALLIÉS, ENROULÉS, REVÊTUS (À L'EXCL. DU FIL MACHINE AINSI QUE DES FILS REVÊTUS DE MÉTAUX COMMUNS)</v>
      </c>
    </row>
    <row r="918" spans="1:4" x14ac:dyDescent="0.25">
      <c r="A918" t="str">
        <f>T("   ZZZ_Monde")</f>
        <v xml:space="preserve">   ZZZ_Monde</v>
      </c>
      <c r="B918" t="str">
        <f>T("   ZZZ_Monde")</f>
        <v xml:space="preserve">   ZZZ_Monde</v>
      </c>
      <c r="C918">
        <v>230380785</v>
      </c>
      <c r="D918">
        <v>481498</v>
      </c>
    </row>
    <row r="919" spans="1:4" x14ac:dyDescent="0.25">
      <c r="A919" t="str">
        <f>T("   BD")</f>
        <v xml:space="preserve">   BD</v>
      </c>
      <c r="B919" t="str">
        <f>T("   Bangladesh")</f>
        <v xml:space="preserve">   Bangladesh</v>
      </c>
      <c r="C919">
        <v>5054119</v>
      </c>
      <c r="D919">
        <v>10945</v>
      </c>
    </row>
    <row r="920" spans="1:4" x14ac:dyDescent="0.25">
      <c r="A920" t="str">
        <f>T("   CN")</f>
        <v xml:space="preserve">   CN</v>
      </c>
      <c r="B920" t="str">
        <f>T("   Chine")</f>
        <v xml:space="preserve">   Chine</v>
      </c>
      <c r="C920">
        <v>38759706</v>
      </c>
      <c r="D920">
        <v>83939</v>
      </c>
    </row>
    <row r="921" spans="1:4" x14ac:dyDescent="0.25">
      <c r="A921" t="str">
        <f>T("   DE")</f>
        <v xml:space="preserve">   DE</v>
      </c>
      <c r="B921" t="str">
        <f>T("   Allemagne")</f>
        <v xml:space="preserve">   Allemagne</v>
      </c>
      <c r="C921">
        <v>617656</v>
      </c>
      <c r="D921">
        <v>1338</v>
      </c>
    </row>
    <row r="922" spans="1:4" x14ac:dyDescent="0.25">
      <c r="A922" t="str">
        <f>T("   ID")</f>
        <v xml:space="preserve">   ID</v>
      </c>
      <c r="B922" t="str">
        <f>T("   Indonésie")</f>
        <v xml:space="preserve">   Indonésie</v>
      </c>
      <c r="C922">
        <v>21452557</v>
      </c>
      <c r="D922">
        <v>46461</v>
      </c>
    </row>
    <row r="923" spans="1:4" x14ac:dyDescent="0.25">
      <c r="A923" t="str">
        <f>T("   MA")</f>
        <v xml:space="preserve">   MA</v>
      </c>
      <c r="B923" t="str">
        <f>T("   Maroc")</f>
        <v xml:space="preserve">   Maroc</v>
      </c>
      <c r="C923">
        <v>1277331</v>
      </c>
      <c r="D923">
        <v>2766</v>
      </c>
    </row>
    <row r="924" spans="1:4" x14ac:dyDescent="0.25">
      <c r="A924" t="str">
        <f>T("   MU")</f>
        <v xml:space="preserve">   MU</v>
      </c>
      <c r="B924" t="str">
        <f>T("   Maurice, île")</f>
        <v xml:space="preserve">   Maurice, île</v>
      </c>
      <c r="C924">
        <v>1291425</v>
      </c>
      <c r="D924">
        <v>2797</v>
      </c>
    </row>
    <row r="925" spans="1:4" x14ac:dyDescent="0.25">
      <c r="A925" t="str">
        <f>T("   MY")</f>
        <v xml:space="preserve">   MY</v>
      </c>
      <c r="B925" t="str">
        <f>T("   Malaisie")</f>
        <v xml:space="preserve">   Malaisie</v>
      </c>
      <c r="C925">
        <v>10006658</v>
      </c>
      <c r="D925">
        <v>21671</v>
      </c>
    </row>
    <row r="926" spans="1:4" x14ac:dyDescent="0.25">
      <c r="A926" t="str">
        <f>T("   NE")</f>
        <v xml:space="preserve">   NE</v>
      </c>
      <c r="B926" t="str">
        <f>T("   Niger")</f>
        <v xml:space="preserve">   Niger</v>
      </c>
      <c r="C926">
        <v>2140000</v>
      </c>
      <c r="D926">
        <v>5000</v>
      </c>
    </row>
    <row r="927" spans="1:4" x14ac:dyDescent="0.25">
      <c r="A927" t="str">
        <f>T("   NG")</f>
        <v xml:space="preserve">   NG</v>
      </c>
      <c r="B927" t="str">
        <f>T("   Nigéria")</f>
        <v xml:space="preserve">   Nigéria</v>
      </c>
      <c r="C927">
        <v>22950000</v>
      </c>
      <c r="D927">
        <v>51000</v>
      </c>
    </row>
    <row r="928" spans="1:4" x14ac:dyDescent="0.25">
      <c r="A928" t="str">
        <f>T("   PK")</f>
        <v xml:space="preserve">   PK</v>
      </c>
      <c r="B928" t="str">
        <f>T("   Pakistan")</f>
        <v xml:space="preserve">   Pakistan</v>
      </c>
      <c r="C928">
        <v>5175491</v>
      </c>
      <c r="D928">
        <v>11144</v>
      </c>
    </row>
    <row r="929" spans="1:4" x14ac:dyDescent="0.25">
      <c r="A929" t="str">
        <f>T("   PT")</f>
        <v xml:space="preserve">   PT</v>
      </c>
      <c r="B929" t="str">
        <f>T("   Portugal")</f>
        <v xml:space="preserve">   Portugal</v>
      </c>
      <c r="C929">
        <v>4229975</v>
      </c>
      <c r="D929">
        <v>9161</v>
      </c>
    </row>
    <row r="930" spans="1:4" x14ac:dyDescent="0.25">
      <c r="A930" t="str">
        <f>T("   TD")</f>
        <v xml:space="preserve">   TD</v>
      </c>
      <c r="B930" t="str">
        <f>T("   Tchad")</f>
        <v xml:space="preserve">   Tchad</v>
      </c>
      <c r="C930">
        <v>99320000</v>
      </c>
      <c r="D930">
        <v>196000</v>
      </c>
    </row>
    <row r="931" spans="1:4" x14ac:dyDescent="0.25">
      <c r="A931" t="str">
        <f>T("   TH")</f>
        <v xml:space="preserve">   TH</v>
      </c>
      <c r="B931" t="str">
        <f>T("   Thaïlande")</f>
        <v xml:space="preserve">   Thaïlande</v>
      </c>
      <c r="C931">
        <v>3529205</v>
      </c>
      <c r="D931">
        <v>7643</v>
      </c>
    </row>
    <row r="932" spans="1:4" x14ac:dyDescent="0.25">
      <c r="A932" t="str">
        <f>T("   TR")</f>
        <v xml:space="preserve">   TR</v>
      </c>
      <c r="B932" t="str">
        <f>T("   Turquie")</f>
        <v xml:space="preserve">   Turquie</v>
      </c>
      <c r="C932">
        <v>1869232</v>
      </c>
      <c r="D932">
        <v>4048</v>
      </c>
    </row>
    <row r="933" spans="1:4" x14ac:dyDescent="0.25">
      <c r="A933" t="str">
        <f>T("   TW")</f>
        <v xml:space="preserve">   TW</v>
      </c>
      <c r="B933" t="str">
        <f>T("   Taïwan, Province de Chine")</f>
        <v xml:space="preserve">   Taïwan, Province de Chine</v>
      </c>
      <c r="C933">
        <v>1230599</v>
      </c>
      <c r="D933">
        <v>2665</v>
      </c>
    </row>
    <row r="934" spans="1:4" x14ac:dyDescent="0.25">
      <c r="A934" t="str">
        <f>T("   VN")</f>
        <v xml:space="preserve">   VN</v>
      </c>
      <c r="B934" t="str">
        <f>T("   Vietnam")</f>
        <v xml:space="preserve">   Vietnam</v>
      </c>
      <c r="C934">
        <v>11476831</v>
      </c>
      <c r="D934">
        <v>24920</v>
      </c>
    </row>
    <row r="935" spans="1:4" x14ac:dyDescent="0.25">
      <c r="A935" t="str">
        <f>T("730210")</f>
        <v>730210</v>
      </c>
      <c r="B935" t="str">
        <f>T("Rails en fonte, fer ou acier pour voies ferrées ( à l'excl. des contre-rails)")</f>
        <v>Rails en fonte, fer ou acier pour voies ferrées ( à l'excl. des contre-rails)</v>
      </c>
    </row>
    <row r="936" spans="1:4" x14ac:dyDescent="0.25">
      <c r="A936" t="str">
        <f>T("   ZZZ_Monde")</f>
        <v xml:space="preserve">   ZZZ_Monde</v>
      </c>
      <c r="B936" t="str">
        <f>T("   ZZZ_Monde")</f>
        <v xml:space="preserve">   ZZZ_Monde</v>
      </c>
      <c r="C936">
        <v>60000</v>
      </c>
      <c r="D936">
        <v>56</v>
      </c>
    </row>
    <row r="937" spans="1:4" x14ac:dyDescent="0.25">
      <c r="A937" t="str">
        <f>T("   TG")</f>
        <v xml:space="preserve">   TG</v>
      </c>
      <c r="B937" t="str">
        <f>T("   Togo")</f>
        <v xml:space="preserve">   Togo</v>
      </c>
      <c r="C937">
        <v>60000</v>
      </c>
      <c r="D937">
        <v>56</v>
      </c>
    </row>
    <row r="938" spans="1:4" x14ac:dyDescent="0.25">
      <c r="A938" t="str">
        <f>T("730421")</f>
        <v>730421</v>
      </c>
      <c r="B938" t="str">
        <f>T("Tiges de forage sans soudure, en fer (à l'excl. de la fonte) ou en acier, des types utilisés pour l'extraction du pétrole ou du gaz")</f>
        <v>Tiges de forage sans soudure, en fer (à l'excl. de la fonte) ou en acier, des types utilisés pour l'extraction du pétrole ou du gaz</v>
      </c>
    </row>
    <row r="939" spans="1:4" x14ac:dyDescent="0.25">
      <c r="A939" t="str">
        <f>T("   ZZZ_Monde")</f>
        <v xml:space="preserve">   ZZZ_Monde</v>
      </c>
      <c r="B939" t="str">
        <f>T("   ZZZ_Monde")</f>
        <v xml:space="preserve">   ZZZ_Monde</v>
      </c>
      <c r="C939">
        <v>7666400</v>
      </c>
      <c r="D939">
        <v>5000</v>
      </c>
    </row>
    <row r="940" spans="1:4" x14ac:dyDescent="0.25">
      <c r="A940" t="str">
        <f>T("   SN")</f>
        <v xml:space="preserve">   SN</v>
      </c>
      <c r="B940" t="str">
        <f>T("   Sénégal")</f>
        <v xml:space="preserve">   Sénégal</v>
      </c>
      <c r="C940">
        <v>7666400</v>
      </c>
      <c r="D940">
        <v>5000</v>
      </c>
    </row>
    <row r="941" spans="1:4" x14ac:dyDescent="0.25">
      <c r="A941" t="str">
        <f>T("730820")</f>
        <v>730820</v>
      </c>
      <c r="B941" t="str">
        <f>T("Tours et pylônes, en fer ou en acier")</f>
        <v>Tours et pylônes, en fer ou en acier</v>
      </c>
    </row>
    <row r="942" spans="1:4" x14ac:dyDescent="0.25">
      <c r="A942" t="str">
        <f>T("   ZZZ_Monde")</f>
        <v xml:space="preserve">   ZZZ_Monde</v>
      </c>
      <c r="B942" t="str">
        <f>T("   ZZZ_Monde")</f>
        <v xml:space="preserve">   ZZZ_Monde</v>
      </c>
      <c r="C942">
        <v>1890000</v>
      </c>
      <c r="D942">
        <v>6732</v>
      </c>
    </row>
    <row r="943" spans="1:4" x14ac:dyDescent="0.25">
      <c r="A943" t="str">
        <f>T("   TG")</f>
        <v xml:space="preserve">   TG</v>
      </c>
      <c r="B943" t="str">
        <f>T("   Togo")</f>
        <v xml:space="preserve">   Togo</v>
      </c>
      <c r="C943">
        <v>1890000</v>
      </c>
      <c r="D943">
        <v>6732</v>
      </c>
    </row>
    <row r="944" spans="1:4" x14ac:dyDescent="0.25">
      <c r="A944" t="str">
        <f>T("730840")</f>
        <v>730840</v>
      </c>
      <c r="B944" t="str">
        <f>T("Matériel d'échafaudage, de coffrage ou d'étayage, en fer ou en acier (autre que palplanches assemblées et coffrages pour béton, qui présentent les caractéristiques de moules)")</f>
        <v>Matériel d'échafaudage, de coffrage ou d'étayage, en fer ou en acier (autre que palplanches assemblées et coffrages pour béton, qui présentent les caractéristiques de moules)</v>
      </c>
    </row>
    <row r="945" spans="1:4" x14ac:dyDescent="0.25">
      <c r="A945" t="str">
        <f>T("   ZZZ_Monde")</f>
        <v xml:space="preserve">   ZZZ_Monde</v>
      </c>
      <c r="B945" t="str">
        <f>T("   ZZZ_Monde")</f>
        <v xml:space="preserve">   ZZZ_Monde</v>
      </c>
      <c r="C945">
        <v>39190727</v>
      </c>
      <c r="D945">
        <v>130094</v>
      </c>
    </row>
    <row r="946" spans="1:4" x14ac:dyDescent="0.25">
      <c r="A946" t="str">
        <f>T("   MA")</f>
        <v xml:space="preserve">   MA</v>
      </c>
      <c r="B946" t="str">
        <f>T("   Maroc")</f>
        <v xml:space="preserve">   Maroc</v>
      </c>
      <c r="C946">
        <v>28750727</v>
      </c>
      <c r="D946">
        <v>25500</v>
      </c>
    </row>
    <row r="947" spans="1:4" x14ac:dyDescent="0.25">
      <c r="A947" t="str">
        <f>T("   TG")</f>
        <v xml:space="preserve">   TG</v>
      </c>
      <c r="B947" t="str">
        <f>T("   Togo")</f>
        <v xml:space="preserve">   Togo</v>
      </c>
      <c r="C947">
        <v>10440000</v>
      </c>
      <c r="D947">
        <v>104594</v>
      </c>
    </row>
    <row r="948" spans="1:4" x14ac:dyDescent="0.25">
      <c r="A948" t="str">
        <f>T("730900")</f>
        <v>730900</v>
      </c>
      <c r="B948" t="str">
        <f>T("Réservoirs, foudres, cuves et récipients simil. en fonte, fer ou acier, pour toutes matières (à l'excl. des gaz comprimés ou liquéfiés), d'une contenance &gt; 300 l, sans dispositifs mécaniques ou thermiques, même avec revêtement intérieur ou calorifuge (aut")</f>
        <v>Réservoirs, foudres, cuves et récipients simil. en fonte, fer ou acier, pour toutes matières (à l'excl. des gaz comprimés ou liquéfiés), d'une contenance &gt; 300 l, sans dispositifs mécaniques ou thermiques, même avec revêtement intérieur ou calorifuge (aut</v>
      </c>
    </row>
    <row r="949" spans="1:4" x14ac:dyDescent="0.25">
      <c r="A949" t="str">
        <f>T("   ZZZ_Monde")</f>
        <v xml:space="preserve">   ZZZ_Monde</v>
      </c>
      <c r="B949" t="str">
        <f>T("   ZZZ_Monde")</f>
        <v xml:space="preserve">   ZZZ_Monde</v>
      </c>
      <c r="C949">
        <v>29763233</v>
      </c>
      <c r="D949">
        <v>18500</v>
      </c>
    </row>
    <row r="950" spans="1:4" x14ac:dyDescent="0.25">
      <c r="A950" t="str">
        <f>T("   NG")</f>
        <v xml:space="preserve">   NG</v>
      </c>
      <c r="B950" t="str">
        <f>T("   Nigéria")</f>
        <v xml:space="preserve">   Nigéria</v>
      </c>
      <c r="C950">
        <v>7240582</v>
      </c>
      <c r="D950">
        <v>8500</v>
      </c>
    </row>
    <row r="951" spans="1:4" x14ac:dyDescent="0.25">
      <c r="A951" t="str">
        <f>T("   SN")</f>
        <v xml:space="preserve">   SN</v>
      </c>
      <c r="B951" t="str">
        <f>T("   Sénégal")</f>
        <v xml:space="preserve">   Sénégal</v>
      </c>
      <c r="C951">
        <v>22522651</v>
      </c>
      <c r="D951">
        <v>10000</v>
      </c>
    </row>
    <row r="952" spans="1:4" x14ac:dyDescent="0.25">
      <c r="A952" t="str">
        <f>T("731290")</f>
        <v>731290</v>
      </c>
      <c r="B952" t="str">
        <f>T("Tresses, élingues et simil., en fer ou en acier (sauf produits isolés pour l'électricité)")</f>
        <v>Tresses, élingues et simil., en fer ou en acier (sauf produits isolés pour l'électricité)</v>
      </c>
    </row>
    <row r="953" spans="1:4" x14ac:dyDescent="0.25">
      <c r="A953" t="str">
        <f>T("   ZZZ_Monde")</f>
        <v xml:space="preserve">   ZZZ_Monde</v>
      </c>
      <c r="B953" t="str">
        <f>T("   ZZZ_Monde")</f>
        <v xml:space="preserve">   ZZZ_Monde</v>
      </c>
      <c r="C953">
        <v>7356815</v>
      </c>
      <c r="D953">
        <v>1800</v>
      </c>
    </row>
    <row r="954" spans="1:4" x14ac:dyDescent="0.25">
      <c r="A954" t="str">
        <f>T("   TG")</f>
        <v xml:space="preserve">   TG</v>
      </c>
      <c r="B954" t="str">
        <f>T("   Togo")</f>
        <v xml:space="preserve">   Togo</v>
      </c>
      <c r="C954">
        <v>7356815</v>
      </c>
      <c r="D954">
        <v>1800</v>
      </c>
    </row>
    <row r="955" spans="1:4" x14ac:dyDescent="0.25">
      <c r="A955" t="str">
        <f>T("731589")</f>
        <v>731589</v>
      </c>
      <c r="B955" t="str">
        <f>T("Chaînes et chaînettes en fonte, fer ou acier (sauf chaînes à maillons articulés, antidérapantes, à maillons à étais, à maillons soudés, et leurs parties; chaînes et chaînettes de montres, d'horloges ou de bijouterie; chaînes dentées et à scie; chenilles,")</f>
        <v>Chaînes et chaînettes en fonte, fer ou acier (sauf chaînes à maillons articulés, antidérapantes, à maillons à étais, à maillons soudés, et leurs parties; chaînes et chaînettes de montres, d'horloges ou de bijouterie; chaînes dentées et à scie; chenilles,</v>
      </c>
    </row>
    <row r="956" spans="1:4" x14ac:dyDescent="0.25">
      <c r="A956" t="str">
        <f>T("   ZZZ_Monde")</f>
        <v xml:space="preserve">   ZZZ_Monde</v>
      </c>
      <c r="B956" t="str">
        <f>T("   ZZZ_Monde")</f>
        <v xml:space="preserve">   ZZZ_Monde</v>
      </c>
      <c r="C956">
        <v>77419</v>
      </c>
      <c r="D956">
        <v>5160</v>
      </c>
    </row>
    <row r="957" spans="1:4" x14ac:dyDescent="0.25">
      <c r="A957" t="str">
        <f>T("   BE")</f>
        <v xml:space="preserve">   BE</v>
      </c>
      <c r="B957" t="str">
        <f>T("   Belgique")</f>
        <v xml:space="preserve">   Belgique</v>
      </c>
      <c r="C957">
        <v>77419</v>
      </c>
      <c r="D957">
        <v>5160</v>
      </c>
    </row>
    <row r="958" spans="1:4" x14ac:dyDescent="0.25">
      <c r="A958" t="str">
        <f>T("731700")</f>
        <v>731700</v>
      </c>
      <c r="B958" t="str">
        <f>T("Pointes, clous, punaises, crampons appointés, agrafes ondulées ou biseautées et articles simil., en fonte, fer ou acier, même avec tête en autre matière (à l'excl. de ceux avec tête en cuivre et à l'excl. des agrafes en barrettes)")</f>
        <v>Pointes, clous, punaises, crampons appointés, agrafes ondulées ou biseautées et articles simil., en fonte, fer ou acier, même avec tête en autre matière (à l'excl. de ceux avec tête en cuivre et à l'excl. des agrafes en barrettes)</v>
      </c>
    </row>
    <row r="959" spans="1:4" x14ac:dyDescent="0.25">
      <c r="A959" t="str">
        <f>T("   ZZZ_Monde")</f>
        <v xml:space="preserve">   ZZZ_Monde</v>
      </c>
      <c r="B959" t="str">
        <f>T("   ZZZ_Monde")</f>
        <v xml:space="preserve">   ZZZ_Monde</v>
      </c>
      <c r="C959">
        <v>492395000</v>
      </c>
      <c r="D959">
        <v>993000</v>
      </c>
    </row>
    <row r="960" spans="1:4" x14ac:dyDescent="0.25">
      <c r="A960" t="str">
        <f>T("   NE")</f>
        <v xml:space="preserve">   NE</v>
      </c>
      <c r="B960" t="str">
        <f>T("   Niger")</f>
        <v xml:space="preserve">   Niger</v>
      </c>
      <c r="C960">
        <v>9000000</v>
      </c>
      <c r="D960">
        <v>30000</v>
      </c>
    </row>
    <row r="961" spans="1:4" x14ac:dyDescent="0.25">
      <c r="A961" t="str">
        <f>T("   NG")</f>
        <v xml:space="preserve">   NG</v>
      </c>
      <c r="B961" t="str">
        <f>T("   Nigéria")</f>
        <v xml:space="preserve">   Nigéria</v>
      </c>
      <c r="C961">
        <v>171885000</v>
      </c>
      <c r="D961">
        <v>359000</v>
      </c>
    </row>
    <row r="962" spans="1:4" x14ac:dyDescent="0.25">
      <c r="A962" t="str">
        <f>T("   TD")</f>
        <v xml:space="preserve">   TD</v>
      </c>
      <c r="B962" t="str">
        <f>T("   Tchad")</f>
        <v xml:space="preserve">   Tchad</v>
      </c>
      <c r="C962">
        <v>311510000</v>
      </c>
      <c r="D962">
        <v>604000</v>
      </c>
    </row>
    <row r="963" spans="1:4" x14ac:dyDescent="0.25">
      <c r="A963" t="str">
        <f>T("731813")</f>
        <v>731813</v>
      </c>
      <c r="B963" t="str">
        <f>T("Crochets et pitons à pas de vis en fonte, fer ou acier")</f>
        <v>Crochets et pitons à pas de vis en fonte, fer ou acier</v>
      </c>
    </row>
    <row r="964" spans="1:4" x14ac:dyDescent="0.25">
      <c r="A964" t="str">
        <f>T("   ZZZ_Monde")</f>
        <v xml:space="preserve">   ZZZ_Monde</v>
      </c>
      <c r="B964" t="str">
        <f>T("   ZZZ_Monde")</f>
        <v xml:space="preserve">   ZZZ_Monde</v>
      </c>
      <c r="C964">
        <v>54914</v>
      </c>
      <c r="D964">
        <v>3660</v>
      </c>
    </row>
    <row r="965" spans="1:4" x14ac:dyDescent="0.25">
      <c r="A965" t="str">
        <f>T("   BE")</f>
        <v xml:space="preserve">   BE</v>
      </c>
      <c r="B965" t="str">
        <f>T("   Belgique")</f>
        <v xml:space="preserve">   Belgique</v>
      </c>
      <c r="C965">
        <v>54914</v>
      </c>
      <c r="D965">
        <v>3660</v>
      </c>
    </row>
    <row r="966" spans="1:4" x14ac:dyDescent="0.25">
      <c r="A966" t="str">
        <f>T("732111")</f>
        <v>732111</v>
      </c>
      <c r="B966" t="str">
        <f>T("Appareils de cuisson tels que foyers de cuisson, barbecues, grilloirs, réchauds et cuisinières, ainsi que chauffe-plats, à usage domestique, en fonte, fer ou acier, à combustibles gazeux ou à gaz et autres combustibles (à l'excl. des appareils destinés à")</f>
        <v>Appareils de cuisson tels que foyers de cuisson, barbecues, grilloirs, réchauds et cuisinières, ainsi que chauffe-plats, à usage domestique, en fonte, fer ou acier, à combustibles gazeux ou à gaz et autres combustibles (à l'excl. des appareils destinés à</v>
      </c>
    </row>
    <row r="967" spans="1:4" x14ac:dyDescent="0.25">
      <c r="A967" t="str">
        <f>T("   ZZZ_Monde")</f>
        <v xml:space="preserve">   ZZZ_Monde</v>
      </c>
      <c r="B967" t="str">
        <f>T("   ZZZ_Monde")</f>
        <v xml:space="preserve">   ZZZ_Monde</v>
      </c>
      <c r="C967">
        <v>3918105</v>
      </c>
      <c r="D967">
        <v>1260</v>
      </c>
    </row>
    <row r="968" spans="1:4" x14ac:dyDescent="0.25">
      <c r="A968" t="str">
        <f>T("   TG")</f>
        <v xml:space="preserve">   TG</v>
      </c>
      <c r="B968" t="str">
        <f>T("   Togo")</f>
        <v xml:space="preserve">   Togo</v>
      </c>
      <c r="C968">
        <v>3918105</v>
      </c>
      <c r="D968">
        <v>1260</v>
      </c>
    </row>
    <row r="969" spans="1:4" x14ac:dyDescent="0.25">
      <c r="A969" t="str">
        <f>T("732113")</f>
        <v>732113</v>
      </c>
      <c r="B969" t="str">
        <f>T("Appareils de cuisson tels que foyers de cuisson, barbecues, grilloirs, réchauds et cuisinières, et chauffe-plats, à usage domestique, en fonte, fer ou acier, à combustibles solides (à l'excl. des appareils destinés à la cuisine à grande échelle)")</f>
        <v>Appareils de cuisson tels que foyers de cuisson, barbecues, grilloirs, réchauds et cuisinières, et chauffe-plats, à usage domestique, en fonte, fer ou acier, à combustibles solides (à l'excl. des appareils destinés à la cuisine à grande échelle)</v>
      </c>
    </row>
    <row r="970" spans="1:4" x14ac:dyDescent="0.25">
      <c r="A970" t="str">
        <f>T("   ZZZ_Monde")</f>
        <v xml:space="preserve">   ZZZ_Monde</v>
      </c>
      <c r="B970" t="str">
        <f>T("   ZZZ_Monde")</f>
        <v xml:space="preserve">   ZZZ_Monde</v>
      </c>
      <c r="C970">
        <v>3830688</v>
      </c>
      <c r="D970">
        <v>789</v>
      </c>
    </row>
    <row r="971" spans="1:4" x14ac:dyDescent="0.25">
      <c r="A971" t="str">
        <f>T("   TG")</f>
        <v xml:space="preserve">   TG</v>
      </c>
      <c r="B971" t="str">
        <f>T("   Togo")</f>
        <v xml:space="preserve">   Togo</v>
      </c>
      <c r="C971">
        <v>3830688</v>
      </c>
      <c r="D971">
        <v>789</v>
      </c>
    </row>
    <row r="972" spans="1:4" x14ac:dyDescent="0.25">
      <c r="A972" t="str">
        <f>T("732181")</f>
        <v>732181</v>
      </c>
      <c r="B972" t="str">
        <f>T("Poêles, chaudières à foyer, foyers de lessiveuses, chaudières avec foyer pour la lessive, braseros et appareils ménagers simil., en fonte, fer ou acier, à combustibles gazeux ou à gaz et autres combustibles (à l'excl. des appareils de cuisson, chauffe-pla")</f>
        <v>Poêles, chaudières à foyer, foyers de lessiveuses, chaudières avec foyer pour la lessive, braseros et appareils ménagers simil., en fonte, fer ou acier, à combustibles gazeux ou à gaz et autres combustibles (à l'excl. des appareils de cuisson, chauffe-pla</v>
      </c>
    </row>
    <row r="973" spans="1:4" x14ac:dyDescent="0.25">
      <c r="A973" t="str">
        <f>T("   ZZZ_Monde")</f>
        <v xml:space="preserve">   ZZZ_Monde</v>
      </c>
      <c r="B973" t="str">
        <f>T("   ZZZ_Monde")</f>
        <v xml:space="preserve">   ZZZ_Monde</v>
      </c>
      <c r="C973">
        <v>183566</v>
      </c>
      <c r="D973">
        <v>47</v>
      </c>
    </row>
    <row r="974" spans="1:4" x14ac:dyDescent="0.25">
      <c r="A974" t="str">
        <f>T("   TG")</f>
        <v xml:space="preserve">   TG</v>
      </c>
      <c r="B974" t="str">
        <f>T("   Togo")</f>
        <v xml:space="preserve">   Togo</v>
      </c>
      <c r="C974">
        <v>183566</v>
      </c>
      <c r="D974">
        <v>47</v>
      </c>
    </row>
    <row r="975" spans="1:4" x14ac:dyDescent="0.25">
      <c r="A975" t="str">
        <f>T("732393")</f>
        <v>732393</v>
      </c>
      <c r="B975" t="str">
        <f>T("Articles de ménage ou d'économie domestique et leurs parties, en aciers inoxydables (à l'excl. des bidons, boîtes et récipients simil. du n° 7310; poubelles; pelles, tire-bouchons et autres articles à caractère d'outils; coutellerie et cuillers, louches,")</f>
        <v>Articles de ménage ou d'économie domestique et leurs parties, en aciers inoxydables (à l'excl. des bidons, boîtes et récipients simil. du n° 7310; poubelles; pelles, tire-bouchons et autres articles à caractère d'outils; coutellerie et cuillers, louches,</v>
      </c>
    </row>
    <row r="976" spans="1:4" x14ac:dyDescent="0.25">
      <c r="A976" t="str">
        <f>T("   ZZZ_Monde")</f>
        <v xml:space="preserve">   ZZZ_Monde</v>
      </c>
      <c r="B976" t="str">
        <f>T("   ZZZ_Monde")</f>
        <v xml:space="preserve">   ZZZ_Monde</v>
      </c>
      <c r="C976">
        <v>2300000</v>
      </c>
      <c r="D976">
        <v>3925</v>
      </c>
    </row>
    <row r="977" spans="1:4" x14ac:dyDescent="0.25">
      <c r="A977" t="str">
        <f>T("   DE")</f>
        <v xml:space="preserve">   DE</v>
      </c>
      <c r="B977" t="str">
        <f>T("   Allemagne")</f>
        <v xml:space="preserve">   Allemagne</v>
      </c>
      <c r="C977">
        <v>300000</v>
      </c>
      <c r="D977">
        <v>800</v>
      </c>
    </row>
    <row r="978" spans="1:4" x14ac:dyDescent="0.25">
      <c r="A978" t="str">
        <f>T("   UG")</f>
        <v xml:space="preserve">   UG</v>
      </c>
      <c r="B978" t="str">
        <f>T("   Ouganda")</f>
        <v xml:space="preserve">   Ouganda</v>
      </c>
      <c r="C978">
        <v>2000000</v>
      </c>
      <c r="D978">
        <v>3125</v>
      </c>
    </row>
    <row r="979" spans="1:4" x14ac:dyDescent="0.25">
      <c r="A979" t="str">
        <f>T("732394")</f>
        <v>732394</v>
      </c>
      <c r="B979" t="str">
        <f>T("Articles de ménage ou d'économie domestique et leurs parties, en fer ou en aciers autres qu'inoxydables, émaillés (à l'excl. de la fonte; des bidons, boîtes et récipients simil. du n° 7310; poubelles; pelles et autres articles à caractère d'outils; cuille")</f>
        <v>Articles de ménage ou d'économie domestique et leurs parties, en fer ou en aciers autres qu'inoxydables, émaillés (à l'excl. de la fonte; des bidons, boîtes et récipients simil. du n° 7310; poubelles; pelles et autres articles à caractère d'outils; cuille</v>
      </c>
    </row>
    <row r="980" spans="1:4" x14ac:dyDescent="0.25">
      <c r="A980" t="str">
        <f>T("   ZZZ_Monde")</f>
        <v xml:space="preserve">   ZZZ_Monde</v>
      </c>
      <c r="B980" t="str">
        <f>T("   ZZZ_Monde")</f>
        <v xml:space="preserve">   ZZZ_Monde</v>
      </c>
      <c r="C980">
        <v>20091000</v>
      </c>
      <c r="D980">
        <v>25950</v>
      </c>
    </row>
    <row r="981" spans="1:4" x14ac:dyDescent="0.25">
      <c r="A981" t="str">
        <f>T("   AR")</f>
        <v xml:space="preserve">   AR</v>
      </c>
      <c r="B981" t="str">
        <f>T("   Argentine")</f>
        <v xml:space="preserve">   Argentine</v>
      </c>
      <c r="C981">
        <v>650000</v>
      </c>
      <c r="D981">
        <v>1000</v>
      </c>
    </row>
    <row r="982" spans="1:4" x14ac:dyDescent="0.25">
      <c r="A982" t="str">
        <f>T("   BE")</f>
        <v xml:space="preserve">   BE</v>
      </c>
      <c r="B982" t="str">
        <f>T("   Belgique")</f>
        <v xml:space="preserve">   Belgique</v>
      </c>
      <c r="C982">
        <v>1400000</v>
      </c>
      <c r="D982">
        <v>1800</v>
      </c>
    </row>
    <row r="983" spans="1:4" x14ac:dyDescent="0.25">
      <c r="A983" t="str">
        <f>T("   BF")</f>
        <v xml:space="preserve">   BF</v>
      </c>
      <c r="B983" t="str">
        <f>T("   Burkina Faso")</f>
        <v xml:space="preserve">   Burkina Faso</v>
      </c>
      <c r="C983">
        <v>1391000</v>
      </c>
      <c r="D983">
        <v>1200</v>
      </c>
    </row>
    <row r="984" spans="1:4" x14ac:dyDescent="0.25">
      <c r="A984" t="str">
        <f>T("   CA")</f>
        <v xml:space="preserve">   CA</v>
      </c>
      <c r="B984" t="str">
        <f>T("   Canada")</f>
        <v xml:space="preserve">   Canada</v>
      </c>
      <c r="C984">
        <v>250000</v>
      </c>
      <c r="D984">
        <v>450</v>
      </c>
    </row>
    <row r="985" spans="1:4" x14ac:dyDescent="0.25">
      <c r="A985" t="str">
        <f>T("   CD")</f>
        <v xml:space="preserve">   CD</v>
      </c>
      <c r="B985" t="str">
        <f>T("   Congo, République Démocratique")</f>
        <v xml:space="preserve">   Congo, République Démocratique</v>
      </c>
      <c r="C985">
        <v>300000</v>
      </c>
      <c r="D985">
        <v>400</v>
      </c>
    </row>
    <row r="986" spans="1:4" x14ac:dyDescent="0.25">
      <c r="A986" t="str">
        <f>T("   CF")</f>
        <v xml:space="preserve">   CF</v>
      </c>
      <c r="B986" t="str">
        <f>T("   Centrafricaine, République")</f>
        <v xml:space="preserve">   Centrafricaine, République</v>
      </c>
      <c r="C986">
        <v>250000</v>
      </c>
      <c r="D986">
        <v>400</v>
      </c>
    </row>
    <row r="987" spans="1:4" x14ac:dyDescent="0.25">
      <c r="A987" t="str">
        <f>T("   CG")</f>
        <v xml:space="preserve">   CG</v>
      </c>
      <c r="B987" t="str">
        <f>T("   Congo (Brazzaville)")</f>
        <v xml:space="preserve">   Congo (Brazzaville)</v>
      </c>
      <c r="C987">
        <v>600000</v>
      </c>
      <c r="D987">
        <v>1100</v>
      </c>
    </row>
    <row r="988" spans="1:4" x14ac:dyDescent="0.25">
      <c r="A988" t="str">
        <f>T("   CI")</f>
        <v xml:space="preserve">   CI</v>
      </c>
      <c r="B988" t="str">
        <f>T("   Côte d'Ivoire")</f>
        <v xml:space="preserve">   Côte d'Ivoire</v>
      </c>
      <c r="C988">
        <v>800000</v>
      </c>
      <c r="D988">
        <v>1100</v>
      </c>
    </row>
    <row r="989" spans="1:4" x14ac:dyDescent="0.25">
      <c r="A989" t="str">
        <f>T("   CM")</f>
        <v xml:space="preserve">   CM</v>
      </c>
      <c r="B989" t="str">
        <f>T("   Cameroun")</f>
        <v xml:space="preserve">   Cameroun</v>
      </c>
      <c r="C989">
        <v>400000</v>
      </c>
      <c r="D989">
        <v>250</v>
      </c>
    </row>
    <row r="990" spans="1:4" x14ac:dyDescent="0.25">
      <c r="A990" t="str">
        <f>T("   DE")</f>
        <v xml:space="preserve">   DE</v>
      </c>
      <c r="B990" t="str">
        <f>T("   Allemagne")</f>
        <v xml:space="preserve">   Allemagne</v>
      </c>
      <c r="C990">
        <v>300000</v>
      </c>
      <c r="D990">
        <v>300</v>
      </c>
    </row>
    <row r="991" spans="1:4" x14ac:dyDescent="0.25">
      <c r="A991" t="str">
        <f>T("   DK")</f>
        <v xml:space="preserve">   DK</v>
      </c>
      <c r="B991" t="str">
        <f>T("   Danemark")</f>
        <v xml:space="preserve">   Danemark</v>
      </c>
      <c r="C991">
        <v>1100000</v>
      </c>
      <c r="D991">
        <v>700</v>
      </c>
    </row>
    <row r="992" spans="1:4" x14ac:dyDescent="0.25">
      <c r="A992" t="str">
        <f>T("   FR")</f>
        <v xml:space="preserve">   FR</v>
      </c>
      <c r="B992" t="str">
        <f>T("   France")</f>
        <v xml:space="preserve">   France</v>
      </c>
      <c r="C992">
        <v>3800000</v>
      </c>
      <c r="D992">
        <v>6150</v>
      </c>
    </row>
    <row r="993" spans="1:4" x14ac:dyDescent="0.25">
      <c r="A993" t="str">
        <f>T("   GB")</f>
        <v xml:space="preserve">   GB</v>
      </c>
      <c r="B993" t="str">
        <f>T("   Royaume-Uni")</f>
        <v xml:space="preserve">   Royaume-Uni</v>
      </c>
      <c r="C993">
        <v>200000</v>
      </c>
      <c r="D993">
        <v>300</v>
      </c>
    </row>
    <row r="994" spans="1:4" x14ac:dyDescent="0.25">
      <c r="A994" t="str">
        <f>T("   GH")</f>
        <v xml:space="preserve">   GH</v>
      </c>
      <c r="B994" t="str">
        <f>T("   Ghana")</f>
        <v xml:space="preserve">   Ghana</v>
      </c>
      <c r="C994">
        <v>350000</v>
      </c>
      <c r="D994">
        <v>600</v>
      </c>
    </row>
    <row r="995" spans="1:4" x14ac:dyDescent="0.25">
      <c r="A995" t="str">
        <f>T("   GN")</f>
        <v xml:space="preserve">   GN</v>
      </c>
      <c r="B995" t="str">
        <f>T("   Guinée")</f>
        <v xml:space="preserve">   Guinée</v>
      </c>
      <c r="C995">
        <v>300000</v>
      </c>
      <c r="D995">
        <v>600</v>
      </c>
    </row>
    <row r="996" spans="1:4" x14ac:dyDescent="0.25">
      <c r="A996" t="str">
        <f>T("   MA")</f>
        <v xml:space="preserve">   MA</v>
      </c>
      <c r="B996" t="str">
        <f>T("   Maroc")</f>
        <v xml:space="preserve">   Maroc</v>
      </c>
      <c r="C996">
        <v>700000</v>
      </c>
      <c r="D996">
        <v>1100</v>
      </c>
    </row>
    <row r="997" spans="1:4" x14ac:dyDescent="0.25">
      <c r="A997" t="str">
        <f>T("   ML")</f>
        <v xml:space="preserve">   ML</v>
      </c>
      <c r="B997" t="str">
        <f>T("   Mali")</f>
        <v xml:space="preserve">   Mali</v>
      </c>
      <c r="C997">
        <v>300000</v>
      </c>
      <c r="D997">
        <v>450</v>
      </c>
    </row>
    <row r="998" spans="1:4" x14ac:dyDescent="0.25">
      <c r="A998" t="str">
        <f>T("   MZ")</f>
        <v xml:space="preserve">   MZ</v>
      </c>
      <c r="B998" t="str">
        <f>T("   Mozambique")</f>
        <v xml:space="preserve">   Mozambique</v>
      </c>
      <c r="C998">
        <v>400000</v>
      </c>
      <c r="D998">
        <v>400</v>
      </c>
    </row>
    <row r="999" spans="1:4" x14ac:dyDescent="0.25">
      <c r="A999" t="str">
        <f>T("   NL")</f>
        <v xml:space="preserve">   NL</v>
      </c>
      <c r="B999" t="str">
        <f>T("   Pays-bas")</f>
        <v xml:space="preserve">   Pays-bas</v>
      </c>
      <c r="C999">
        <v>600000</v>
      </c>
      <c r="D999">
        <v>400</v>
      </c>
    </row>
    <row r="1000" spans="1:4" x14ac:dyDescent="0.25">
      <c r="A1000" t="str">
        <f>T("   PK")</f>
        <v xml:space="preserve">   PK</v>
      </c>
      <c r="B1000" t="str">
        <f>T("   Pakistan")</f>
        <v xml:space="preserve">   Pakistan</v>
      </c>
      <c r="C1000">
        <v>500000</v>
      </c>
      <c r="D1000">
        <v>300</v>
      </c>
    </row>
    <row r="1001" spans="1:4" x14ac:dyDescent="0.25">
      <c r="A1001" t="str">
        <f>T("   RW")</f>
        <v xml:space="preserve">   RW</v>
      </c>
      <c r="B1001" t="str">
        <f>T("   Rwanda")</f>
        <v xml:space="preserve">   Rwanda</v>
      </c>
      <c r="C1001">
        <v>1200000</v>
      </c>
      <c r="D1001">
        <v>1700</v>
      </c>
    </row>
    <row r="1002" spans="1:4" x14ac:dyDescent="0.25">
      <c r="A1002" t="str">
        <f>T("   SN")</f>
        <v xml:space="preserve">   SN</v>
      </c>
      <c r="B1002" t="str">
        <f>T("   Sénégal")</f>
        <v xml:space="preserve">   Sénégal</v>
      </c>
      <c r="C1002">
        <v>1900000</v>
      </c>
      <c r="D1002">
        <v>2850</v>
      </c>
    </row>
    <row r="1003" spans="1:4" x14ac:dyDescent="0.25">
      <c r="A1003" t="str">
        <f>T("   TZ")</f>
        <v xml:space="preserve">   TZ</v>
      </c>
      <c r="B1003" t="str">
        <f>T("   Tanzanie")</f>
        <v xml:space="preserve">   Tanzanie</v>
      </c>
      <c r="C1003">
        <v>300000</v>
      </c>
      <c r="D1003">
        <v>300</v>
      </c>
    </row>
    <row r="1004" spans="1:4" x14ac:dyDescent="0.25">
      <c r="A1004" t="str">
        <f>T("   US")</f>
        <v xml:space="preserve">   US</v>
      </c>
      <c r="B1004" t="str">
        <f>T("   Etats-Unis")</f>
        <v xml:space="preserve">   Etats-Unis</v>
      </c>
      <c r="C1004">
        <v>1400000</v>
      </c>
      <c r="D1004">
        <v>1650</v>
      </c>
    </row>
    <row r="1005" spans="1:4" x14ac:dyDescent="0.25">
      <c r="A1005" t="str">
        <f>T("   ZA")</f>
        <v xml:space="preserve">   ZA</v>
      </c>
      <c r="B1005" t="str">
        <f>T("   Afrique du Sud")</f>
        <v xml:space="preserve">   Afrique du Sud</v>
      </c>
      <c r="C1005">
        <v>700000</v>
      </c>
      <c r="D1005">
        <v>450</v>
      </c>
    </row>
    <row r="1006" spans="1:4" x14ac:dyDescent="0.25">
      <c r="A1006" t="str">
        <f>T("732399")</f>
        <v>732399</v>
      </c>
      <c r="B1006" t="str">
        <f>T("Articles de ménage ou d'économie domestique et leurs parties, en fer ou aciers autres qu'inoxydables (sauf fonte et articles émaillés; bidons, boîtes et récipients simil. du n° 7310; poubelles; pelles, tire-bouchons et autres articles à caractère d'outils")</f>
        <v>Articles de ménage ou d'économie domestique et leurs parties, en fer ou aciers autres qu'inoxydables (sauf fonte et articles émaillés; bidons, boîtes et récipients simil. du n° 7310; poubelles; pelles, tire-bouchons et autres articles à caractère d'outils</v>
      </c>
    </row>
    <row r="1007" spans="1:4" x14ac:dyDescent="0.25">
      <c r="A1007" t="str">
        <f>T("   ZZZ_Monde")</f>
        <v xml:space="preserve">   ZZZ_Monde</v>
      </c>
      <c r="B1007" t="str">
        <f>T("   ZZZ_Monde")</f>
        <v xml:space="preserve">   ZZZ_Monde</v>
      </c>
      <c r="C1007">
        <v>6150000</v>
      </c>
      <c r="D1007">
        <v>5720</v>
      </c>
    </row>
    <row r="1008" spans="1:4" x14ac:dyDescent="0.25">
      <c r="A1008" t="str">
        <f>T("   FR")</f>
        <v xml:space="preserve">   FR</v>
      </c>
      <c r="B1008" t="str">
        <f>T("   France")</f>
        <v xml:space="preserve">   France</v>
      </c>
      <c r="C1008">
        <v>6150000</v>
      </c>
      <c r="D1008">
        <v>5720</v>
      </c>
    </row>
    <row r="1009" spans="1:4" x14ac:dyDescent="0.25">
      <c r="A1009" t="str">
        <f>T("732619")</f>
        <v>732619</v>
      </c>
      <c r="B1009" t="str">
        <f>T("Ouvrages en fer ou en acier, forgés ou estampés mais non autrement travaillés, n.d.a. (sauf boulets et articles simil. pour broyeurs)")</f>
        <v>Ouvrages en fer ou en acier, forgés ou estampés mais non autrement travaillés, n.d.a. (sauf boulets et articles simil. pour broyeurs)</v>
      </c>
    </row>
    <row r="1010" spans="1:4" x14ac:dyDescent="0.25">
      <c r="A1010" t="str">
        <f>T("   ZZZ_Monde")</f>
        <v xml:space="preserve">   ZZZ_Monde</v>
      </c>
      <c r="B1010" t="str">
        <f>T("   ZZZ_Monde")</f>
        <v xml:space="preserve">   ZZZ_Monde</v>
      </c>
      <c r="C1010">
        <v>10000000</v>
      </c>
      <c r="D1010">
        <v>1500</v>
      </c>
    </row>
    <row r="1011" spans="1:4" x14ac:dyDescent="0.25">
      <c r="A1011" t="str">
        <f>T("   LR")</f>
        <v xml:space="preserve">   LR</v>
      </c>
      <c r="B1011" t="str">
        <f>T("   Libéria")</f>
        <v xml:space="preserve">   Libéria</v>
      </c>
      <c r="C1011">
        <v>10000000</v>
      </c>
      <c r="D1011">
        <v>1500</v>
      </c>
    </row>
    <row r="1012" spans="1:4" x14ac:dyDescent="0.25">
      <c r="A1012" t="str">
        <f>T("732620")</f>
        <v>732620</v>
      </c>
      <c r="B1012" t="str">
        <f>T("Ouvrages en fil de fer ou d'acier, n.d.a.")</f>
        <v>Ouvrages en fil de fer ou d'acier, n.d.a.</v>
      </c>
    </row>
    <row r="1013" spans="1:4" x14ac:dyDescent="0.25">
      <c r="A1013" t="str">
        <f>T("   ZZZ_Monde")</f>
        <v xml:space="preserve">   ZZZ_Monde</v>
      </c>
      <c r="B1013" t="str">
        <f>T("   ZZZ_Monde")</f>
        <v xml:space="preserve">   ZZZ_Monde</v>
      </c>
      <c r="C1013">
        <v>70331766</v>
      </c>
      <c r="D1013">
        <v>106528</v>
      </c>
    </row>
    <row r="1014" spans="1:4" x14ac:dyDescent="0.25">
      <c r="A1014" t="str">
        <f>T("   BD")</f>
        <v xml:space="preserve">   BD</v>
      </c>
      <c r="B1014" t="str">
        <f>T("   Bangladesh")</f>
        <v xml:space="preserve">   Bangladesh</v>
      </c>
      <c r="C1014">
        <v>1465893</v>
      </c>
      <c r="D1014">
        <v>1973</v>
      </c>
    </row>
    <row r="1015" spans="1:4" x14ac:dyDescent="0.25">
      <c r="A1015" t="str">
        <f>T("   CN")</f>
        <v xml:space="preserve">   CN</v>
      </c>
      <c r="B1015" t="str">
        <f>T("   Chine")</f>
        <v xml:space="preserve">   Chine</v>
      </c>
      <c r="C1015">
        <v>39229750</v>
      </c>
      <c r="D1015">
        <v>60967</v>
      </c>
    </row>
    <row r="1016" spans="1:4" x14ac:dyDescent="0.25">
      <c r="A1016" t="str">
        <f>T("   DE")</f>
        <v xml:space="preserve">   DE</v>
      </c>
      <c r="B1016" t="str">
        <f>T("   Allemagne")</f>
        <v xml:space="preserve">   Allemagne</v>
      </c>
      <c r="C1016">
        <v>130533</v>
      </c>
      <c r="D1016">
        <v>153</v>
      </c>
    </row>
    <row r="1017" spans="1:4" x14ac:dyDescent="0.25">
      <c r="A1017" t="str">
        <f>T("   ID")</f>
        <v xml:space="preserve">   ID</v>
      </c>
      <c r="B1017" t="str">
        <f>T("   Indonésie")</f>
        <v xml:space="preserve">   Indonésie</v>
      </c>
      <c r="C1017">
        <v>9064978</v>
      </c>
      <c r="D1017">
        <v>12956</v>
      </c>
    </row>
    <row r="1018" spans="1:4" x14ac:dyDescent="0.25">
      <c r="A1018" t="str">
        <f>T("   IT")</f>
        <v xml:space="preserve">   IT</v>
      </c>
      <c r="B1018" t="str">
        <f>T("   Italie")</f>
        <v xml:space="preserve">   Italie</v>
      </c>
      <c r="C1018">
        <v>1016093</v>
      </c>
      <c r="D1018">
        <v>1692</v>
      </c>
    </row>
    <row r="1019" spans="1:4" x14ac:dyDescent="0.25">
      <c r="A1019" t="str">
        <f>T("   MA")</f>
        <v xml:space="preserve">   MA</v>
      </c>
      <c r="B1019" t="str">
        <f>T("   Maroc")</f>
        <v xml:space="preserve">   Maroc</v>
      </c>
      <c r="C1019">
        <v>1415008</v>
      </c>
      <c r="D1019">
        <v>2218</v>
      </c>
    </row>
    <row r="1020" spans="1:4" x14ac:dyDescent="0.25">
      <c r="A1020" t="str">
        <f>T("   MY")</f>
        <v xml:space="preserve">   MY</v>
      </c>
      <c r="B1020" t="str">
        <f>T("   Malaisie")</f>
        <v xml:space="preserve">   Malaisie</v>
      </c>
      <c r="C1020">
        <v>4071155</v>
      </c>
      <c r="D1020">
        <v>6780</v>
      </c>
    </row>
    <row r="1021" spans="1:4" x14ac:dyDescent="0.25">
      <c r="A1021" t="str">
        <f>T("   PK")</f>
        <v xml:space="preserve">   PK</v>
      </c>
      <c r="B1021" t="str">
        <f>T("   Pakistan")</f>
        <v xml:space="preserve">   Pakistan</v>
      </c>
      <c r="C1021">
        <v>818336</v>
      </c>
      <c r="D1021">
        <v>1363</v>
      </c>
    </row>
    <row r="1022" spans="1:4" x14ac:dyDescent="0.25">
      <c r="A1022" t="str">
        <f>T("   PT")</f>
        <v xml:space="preserve">   PT</v>
      </c>
      <c r="B1022" t="str">
        <f>T("   Portugal")</f>
        <v xml:space="preserve">   Portugal</v>
      </c>
      <c r="C1022">
        <v>1540362</v>
      </c>
      <c r="D1022">
        <v>1977</v>
      </c>
    </row>
    <row r="1023" spans="1:4" x14ac:dyDescent="0.25">
      <c r="A1023" t="str">
        <f>T("   TH")</f>
        <v xml:space="preserve">   TH</v>
      </c>
      <c r="B1023" t="str">
        <f>T("   Thaïlande")</f>
        <v xml:space="preserve">   Thaïlande</v>
      </c>
      <c r="C1023">
        <v>1429055</v>
      </c>
      <c r="D1023">
        <v>1783</v>
      </c>
    </row>
    <row r="1024" spans="1:4" x14ac:dyDescent="0.25">
      <c r="A1024" t="str">
        <f>T("   TR")</f>
        <v xml:space="preserve">   TR</v>
      </c>
      <c r="B1024" t="str">
        <f>T("   Turquie")</f>
        <v xml:space="preserve">   Turquie</v>
      </c>
      <c r="C1024">
        <v>823044</v>
      </c>
      <c r="D1024">
        <v>1370</v>
      </c>
    </row>
    <row r="1025" spans="1:4" x14ac:dyDescent="0.25">
      <c r="A1025" t="str">
        <f>T("   TW")</f>
        <v xml:space="preserve">   TW</v>
      </c>
      <c r="B1025" t="str">
        <f>T("   Taïwan, Province de Chine")</f>
        <v xml:space="preserve">   Taïwan, Province de Chine</v>
      </c>
      <c r="C1025">
        <v>225233</v>
      </c>
      <c r="D1025">
        <v>264</v>
      </c>
    </row>
    <row r="1026" spans="1:4" x14ac:dyDescent="0.25">
      <c r="A1026" t="str">
        <f>T("   VN")</f>
        <v xml:space="preserve">   VN</v>
      </c>
      <c r="B1026" t="str">
        <f>T("   Vietnam")</f>
        <v xml:space="preserve">   Vietnam</v>
      </c>
      <c r="C1026">
        <v>9102326</v>
      </c>
      <c r="D1026">
        <v>13032</v>
      </c>
    </row>
    <row r="1027" spans="1:4" x14ac:dyDescent="0.25">
      <c r="A1027" t="str">
        <f>T("732690")</f>
        <v>732690</v>
      </c>
      <c r="B1027" t="str">
        <f>T("Ouvrages en fer ou en acier, n.d.a. (autres que moulés, ainsi que forgés ou estampés mais non autrement travaillés ou en fils de fer ou d'acier)")</f>
        <v>Ouvrages en fer ou en acier, n.d.a. (autres que moulés, ainsi que forgés ou estampés mais non autrement travaillés ou en fils de fer ou d'acier)</v>
      </c>
    </row>
    <row r="1028" spans="1:4" x14ac:dyDescent="0.25">
      <c r="A1028" t="str">
        <f>T("   ZZZ_Monde")</f>
        <v xml:space="preserve">   ZZZ_Monde</v>
      </c>
      <c r="B1028" t="str">
        <f>T("   ZZZ_Monde")</f>
        <v xml:space="preserve">   ZZZ_Monde</v>
      </c>
      <c r="C1028">
        <v>16859641</v>
      </c>
      <c r="D1028">
        <v>26422.35</v>
      </c>
    </row>
    <row r="1029" spans="1:4" x14ac:dyDescent="0.25">
      <c r="A1029" t="str">
        <f>T("   CN")</f>
        <v xml:space="preserve">   CN</v>
      </c>
      <c r="B1029" t="str">
        <f>T("   Chine")</f>
        <v xml:space="preserve">   Chine</v>
      </c>
      <c r="C1029">
        <v>9965859</v>
      </c>
      <c r="D1029">
        <v>15865</v>
      </c>
    </row>
    <row r="1030" spans="1:4" x14ac:dyDescent="0.25">
      <c r="A1030" t="str">
        <f>T("   ID")</f>
        <v xml:space="preserve">   ID</v>
      </c>
      <c r="B1030" t="str">
        <f>T("   Indonésie")</f>
        <v xml:space="preserve">   Indonésie</v>
      </c>
      <c r="C1030">
        <v>898517</v>
      </c>
      <c r="D1030">
        <v>1430</v>
      </c>
    </row>
    <row r="1031" spans="1:4" x14ac:dyDescent="0.25">
      <c r="A1031" t="str">
        <f>T("   NG")</f>
        <v xml:space="preserve">   NG</v>
      </c>
      <c r="B1031" t="str">
        <f>T("   Nigéria")</f>
        <v xml:space="preserve">   Nigéria</v>
      </c>
      <c r="C1031">
        <v>2411131</v>
      </c>
      <c r="D1031">
        <v>3422.35</v>
      </c>
    </row>
    <row r="1032" spans="1:4" x14ac:dyDescent="0.25">
      <c r="A1032" t="str">
        <f>T("   PT")</f>
        <v xml:space="preserve">   PT</v>
      </c>
      <c r="B1032" t="str">
        <f>T("   Portugal")</f>
        <v xml:space="preserve">   Portugal</v>
      </c>
      <c r="C1032">
        <v>1160396</v>
      </c>
      <c r="D1032">
        <v>1847</v>
      </c>
    </row>
    <row r="1033" spans="1:4" x14ac:dyDescent="0.25">
      <c r="A1033" t="str">
        <f>T("   TH")</f>
        <v xml:space="preserve">   TH</v>
      </c>
      <c r="B1033" t="str">
        <f>T("   Thaïlande")</f>
        <v xml:space="preserve">   Thaïlande</v>
      </c>
      <c r="C1033">
        <v>788347</v>
      </c>
      <c r="D1033">
        <v>1255</v>
      </c>
    </row>
    <row r="1034" spans="1:4" x14ac:dyDescent="0.25">
      <c r="A1034" t="str">
        <f>T("   TR")</f>
        <v xml:space="preserve">   TR</v>
      </c>
      <c r="B1034" t="str">
        <f>T("   Turquie")</f>
        <v xml:space="preserve">   Turquie</v>
      </c>
      <c r="C1034">
        <v>786541</v>
      </c>
      <c r="D1034">
        <v>1252</v>
      </c>
    </row>
    <row r="1035" spans="1:4" x14ac:dyDescent="0.25">
      <c r="A1035" t="str">
        <f>T("   VN")</f>
        <v xml:space="preserve">   VN</v>
      </c>
      <c r="B1035" t="str">
        <f>T("   Vietnam")</f>
        <v xml:space="preserve">   Vietnam</v>
      </c>
      <c r="C1035">
        <v>848850</v>
      </c>
      <c r="D1035">
        <v>1351</v>
      </c>
    </row>
    <row r="1036" spans="1:4" x14ac:dyDescent="0.25">
      <c r="A1036" t="str">
        <f>T("740400")</f>
        <v>740400</v>
      </c>
      <c r="B1036" t="str">
        <f>T("Déchets et débris de cuivre (à l'excl. des déchets lingotés ou formes brutes simil., en déchets et débris de cuivre fondus, et sauf cendres et résidus contenant du cuivre et déchets et débris de piles, batteries et accumulateurs électriques)")</f>
        <v>Déchets et débris de cuivre (à l'excl. des déchets lingotés ou formes brutes simil., en déchets et débris de cuivre fondus, et sauf cendres et résidus contenant du cuivre et déchets et débris de piles, batteries et accumulateurs électriques)</v>
      </c>
    </row>
    <row r="1037" spans="1:4" x14ac:dyDescent="0.25">
      <c r="A1037" t="str">
        <f>T("   ZZZ_Monde")</f>
        <v xml:space="preserve">   ZZZ_Monde</v>
      </c>
      <c r="B1037" t="str">
        <f>T("   ZZZ_Monde")</f>
        <v xml:space="preserve">   ZZZ_Monde</v>
      </c>
      <c r="C1037">
        <v>1254300</v>
      </c>
      <c r="D1037">
        <v>125430</v>
      </c>
    </row>
    <row r="1038" spans="1:4" x14ac:dyDescent="0.25">
      <c r="A1038" t="str">
        <f>T("   KR")</f>
        <v xml:space="preserve">   KR</v>
      </c>
      <c r="B1038" t="str">
        <f>T("   Corée, République de")</f>
        <v xml:space="preserve">   Corée, République de</v>
      </c>
      <c r="C1038">
        <v>1254300</v>
      </c>
      <c r="D1038">
        <v>125430</v>
      </c>
    </row>
    <row r="1039" spans="1:4" x14ac:dyDescent="0.25">
      <c r="A1039" t="str">
        <f>T("760200")</f>
        <v>760200</v>
      </c>
      <c r="B1039" t="str">
        <f>T("Déchets et débris d'aluminium (sauf scories, mâchefer, etc., produits par la sidérurgie et contenant de l'aluminium récupérable sous forme de silicates, les déchets lingotés et autres formes brutes simil. en déchets ou débris d'aluminium fondus, et sauf c")</f>
        <v>Déchets et débris d'aluminium (sauf scories, mâchefer, etc., produits par la sidérurgie et contenant de l'aluminium récupérable sous forme de silicates, les déchets lingotés et autres formes brutes simil. en déchets ou débris d'aluminium fondus, et sauf c</v>
      </c>
    </row>
    <row r="1040" spans="1:4" x14ac:dyDescent="0.25">
      <c r="A1040" t="str">
        <f>T("   ZZZ_Monde")</f>
        <v xml:space="preserve">   ZZZ_Monde</v>
      </c>
      <c r="B1040" t="str">
        <f>T("   ZZZ_Monde")</f>
        <v xml:space="preserve">   ZZZ_Monde</v>
      </c>
      <c r="C1040">
        <v>1750000</v>
      </c>
      <c r="D1040">
        <v>30000</v>
      </c>
    </row>
    <row r="1041" spans="1:4" x14ac:dyDescent="0.25">
      <c r="A1041" t="str">
        <f>T("   AE")</f>
        <v xml:space="preserve">   AE</v>
      </c>
      <c r="B1041" t="str">
        <f>T("   Emirats Arabes Unis")</f>
        <v xml:space="preserve">   Emirats Arabes Unis</v>
      </c>
      <c r="C1041">
        <v>1750000</v>
      </c>
      <c r="D1041">
        <v>30000</v>
      </c>
    </row>
    <row r="1042" spans="1:4" x14ac:dyDescent="0.25">
      <c r="A1042" t="str">
        <f>T("760421")</f>
        <v>760421</v>
      </c>
      <c r="B1042" t="str">
        <f>T("Profilés creux en alliages d'aluminium, n.d.a.")</f>
        <v>Profilés creux en alliages d'aluminium, n.d.a.</v>
      </c>
    </row>
    <row r="1043" spans="1:4" x14ac:dyDescent="0.25">
      <c r="A1043" t="str">
        <f>T("   ZZZ_Monde")</f>
        <v xml:space="preserve">   ZZZ_Monde</v>
      </c>
      <c r="B1043" t="str">
        <f>T("   ZZZ_Monde")</f>
        <v xml:space="preserve">   ZZZ_Monde</v>
      </c>
      <c r="C1043">
        <v>28099589</v>
      </c>
      <c r="D1043">
        <v>31548</v>
      </c>
    </row>
    <row r="1044" spans="1:4" x14ac:dyDescent="0.25">
      <c r="A1044" t="str">
        <f>T("   CD")</f>
        <v xml:space="preserve">   CD</v>
      </c>
      <c r="B1044" t="str">
        <f>T("   Congo, République Démocratique")</f>
        <v xml:space="preserve">   Congo, République Démocratique</v>
      </c>
      <c r="C1044">
        <v>28099589</v>
      </c>
      <c r="D1044">
        <v>31548</v>
      </c>
    </row>
    <row r="1045" spans="1:4" x14ac:dyDescent="0.25">
      <c r="A1045" t="str">
        <f>T("760611")</f>
        <v>760611</v>
      </c>
      <c r="B1045" t="str">
        <f>T("TÔLES ET BANDES EN ALUMINIUM NON-ALLIÉ, D'UNE ÉPAISSEUR &gt; 0,2 MM, DE FORME CARRÉE OU RECTANGULAIRE (SAUF TÔLES ET BANDES DÉPLOYÉES)")</f>
        <v>TÔLES ET BANDES EN ALUMINIUM NON-ALLIÉ, D'UNE ÉPAISSEUR &gt; 0,2 MM, DE FORME CARRÉE OU RECTANGULAIRE (SAUF TÔLES ET BANDES DÉPLOYÉES)</v>
      </c>
    </row>
    <row r="1046" spans="1:4" x14ac:dyDescent="0.25">
      <c r="A1046" t="str">
        <f>T("   ZZZ_Monde")</f>
        <v xml:space="preserve">   ZZZ_Monde</v>
      </c>
      <c r="B1046" t="str">
        <f>T("   ZZZ_Monde")</f>
        <v xml:space="preserve">   ZZZ_Monde</v>
      </c>
      <c r="C1046">
        <v>97058179</v>
      </c>
      <c r="D1046">
        <v>80208</v>
      </c>
    </row>
    <row r="1047" spans="1:4" x14ac:dyDescent="0.25">
      <c r="A1047" t="str">
        <f>T("   BF")</f>
        <v xml:space="preserve">   BF</v>
      </c>
      <c r="B1047" t="str">
        <f>T("   Burkina Faso")</f>
        <v xml:space="preserve">   Burkina Faso</v>
      </c>
      <c r="C1047">
        <v>97058179</v>
      </c>
      <c r="D1047">
        <v>80208</v>
      </c>
    </row>
    <row r="1048" spans="1:4" x14ac:dyDescent="0.25">
      <c r="A1048" t="str">
        <f>T("761100")</f>
        <v>761100</v>
      </c>
      <c r="B1048" t="str">
        <f>T("Réservoirs, foudres, cuves et récipients simil. en aluminium, pour toutes matières, à l'excl. des gaz comprimés ou liquéfiés, d'une contenance &gt; 300 l (sans dispositifs mécaniques ou thermiques et à l'excl. des conteneurs spécialement conçus et équipés po")</f>
        <v>Réservoirs, foudres, cuves et récipients simil. en aluminium, pour toutes matières, à l'excl. des gaz comprimés ou liquéfiés, d'une contenance &gt; 300 l (sans dispositifs mécaniques ou thermiques et à l'excl. des conteneurs spécialement conçus et équipés po</v>
      </c>
    </row>
    <row r="1049" spans="1:4" x14ac:dyDescent="0.25">
      <c r="A1049" t="str">
        <f>T("   ZZZ_Monde")</f>
        <v xml:space="preserve">   ZZZ_Monde</v>
      </c>
      <c r="B1049" t="str">
        <f>T("   ZZZ_Monde")</f>
        <v xml:space="preserve">   ZZZ_Monde</v>
      </c>
      <c r="C1049">
        <v>2400000</v>
      </c>
      <c r="D1049">
        <v>2500</v>
      </c>
    </row>
    <row r="1050" spans="1:4" x14ac:dyDescent="0.25">
      <c r="A1050" t="str">
        <f>T("   GH")</f>
        <v xml:space="preserve">   GH</v>
      </c>
      <c r="B1050" t="str">
        <f>T("   Ghana")</f>
        <v xml:space="preserve">   Ghana</v>
      </c>
      <c r="C1050">
        <v>2400000</v>
      </c>
      <c r="D1050">
        <v>2500</v>
      </c>
    </row>
    <row r="1051" spans="1:4" x14ac:dyDescent="0.25">
      <c r="A1051" t="str">
        <f>T("761290")</f>
        <v>761290</v>
      </c>
      <c r="B1051" t="str">
        <f>T("Réservoirs, fûts, tambours, bidons, boîtes et récipients simil., en aluminium, y.c. les étuis tubulaires rigides, pour toutes matières, sauf gaz comprimés ou liquéfiés, d'une contenance &lt;= 300 l, n.d.a.")</f>
        <v>Réservoirs, fûts, tambours, bidons, boîtes et récipients simil., en aluminium, y.c. les étuis tubulaires rigides, pour toutes matières, sauf gaz comprimés ou liquéfiés, d'une contenance &lt;= 300 l, n.d.a.</v>
      </c>
    </row>
    <row r="1052" spans="1:4" x14ac:dyDescent="0.25">
      <c r="A1052" t="str">
        <f>T("   ZZZ_Monde")</f>
        <v xml:space="preserve">   ZZZ_Monde</v>
      </c>
      <c r="B1052" t="str">
        <f>T("   ZZZ_Monde")</f>
        <v xml:space="preserve">   ZZZ_Monde</v>
      </c>
      <c r="C1052">
        <v>695058</v>
      </c>
      <c r="D1052">
        <v>3043</v>
      </c>
    </row>
    <row r="1053" spans="1:4" x14ac:dyDescent="0.25">
      <c r="A1053" t="str">
        <f>T("   GN")</f>
        <v xml:space="preserve">   GN</v>
      </c>
      <c r="B1053" t="str">
        <f>T("   Guinée")</f>
        <v xml:space="preserve">   Guinée</v>
      </c>
      <c r="C1053">
        <v>695058</v>
      </c>
      <c r="D1053">
        <v>3043</v>
      </c>
    </row>
    <row r="1054" spans="1:4" x14ac:dyDescent="0.25">
      <c r="A1054" t="str">
        <f>T("761519")</f>
        <v>761519</v>
      </c>
      <c r="B1054" t="str">
        <f>T("Articles de ménage, d'économie domestique, et leurs parties, en aluminium (sauf éponges, torchons, gants et articles simil.; bidons, boîtes et récipients simil. du n° 7612; articles ayant le caractère d'outils, cuillers, louches, fourchettes et articles a")</f>
        <v>Articles de ménage, d'économie domestique, et leurs parties, en aluminium (sauf éponges, torchons, gants et articles simil.; bidons, boîtes et récipients simil. du n° 7612; articles ayant le caractère d'outils, cuillers, louches, fourchettes et articles a</v>
      </c>
    </row>
    <row r="1055" spans="1:4" x14ac:dyDescent="0.25">
      <c r="A1055" t="str">
        <f>T("   ZZZ_Monde")</f>
        <v xml:space="preserve">   ZZZ_Monde</v>
      </c>
      <c r="B1055" t="str">
        <f>T("   ZZZ_Monde")</f>
        <v xml:space="preserve">   ZZZ_Monde</v>
      </c>
      <c r="C1055">
        <v>60000</v>
      </c>
      <c r="D1055">
        <v>12</v>
      </c>
    </row>
    <row r="1056" spans="1:4" x14ac:dyDescent="0.25">
      <c r="A1056" t="str">
        <f>T("   GQ")</f>
        <v xml:space="preserve">   GQ</v>
      </c>
      <c r="B1056" t="str">
        <f>T("   Guinée Equatoriale")</f>
        <v xml:space="preserve">   Guinée Equatoriale</v>
      </c>
      <c r="C1056">
        <v>60000</v>
      </c>
      <c r="D1056">
        <v>12</v>
      </c>
    </row>
    <row r="1057" spans="1:4" x14ac:dyDescent="0.25">
      <c r="A1057" t="str">
        <f>T("761699")</f>
        <v>761699</v>
      </c>
      <c r="B1057" t="str">
        <f>T("Ouvrages en aluminium, n.d.a.")</f>
        <v>Ouvrages en aluminium, n.d.a.</v>
      </c>
    </row>
    <row r="1058" spans="1:4" x14ac:dyDescent="0.25">
      <c r="A1058" t="str">
        <f>T("   ZZZ_Monde")</f>
        <v xml:space="preserve">   ZZZ_Monde</v>
      </c>
      <c r="B1058" t="str">
        <f>T("   ZZZ_Monde")</f>
        <v xml:space="preserve">   ZZZ_Monde</v>
      </c>
      <c r="C1058">
        <v>100000</v>
      </c>
      <c r="D1058">
        <v>543</v>
      </c>
    </row>
    <row r="1059" spans="1:4" x14ac:dyDescent="0.25">
      <c r="A1059" t="str">
        <f>T("   TG")</f>
        <v xml:space="preserve">   TG</v>
      </c>
      <c r="B1059" t="str">
        <f>T("   Togo")</f>
        <v xml:space="preserve">   Togo</v>
      </c>
      <c r="C1059">
        <v>100000</v>
      </c>
      <c r="D1059">
        <v>543</v>
      </c>
    </row>
    <row r="1060" spans="1:4" x14ac:dyDescent="0.25">
      <c r="A1060" t="str">
        <f>T("780300")</f>
        <v>780300</v>
      </c>
      <c r="B1060" t="str">
        <f>T("Barres, profilés et fils en plomb, n.d.a.")</f>
        <v>Barres, profilés et fils en plomb, n.d.a.</v>
      </c>
    </row>
    <row r="1061" spans="1:4" x14ac:dyDescent="0.25">
      <c r="A1061" t="str">
        <f>T("   ZZZ_Monde")</f>
        <v xml:space="preserve">   ZZZ_Monde</v>
      </c>
      <c r="B1061" t="str">
        <f>T("   ZZZ_Monde")</f>
        <v xml:space="preserve">   ZZZ_Monde</v>
      </c>
      <c r="C1061">
        <v>7194000</v>
      </c>
      <c r="D1061">
        <v>95920</v>
      </c>
    </row>
    <row r="1062" spans="1:4" x14ac:dyDescent="0.25">
      <c r="A1062" t="str">
        <f>T("   IN")</f>
        <v xml:space="preserve">   IN</v>
      </c>
      <c r="B1062" t="str">
        <f>T("   Inde")</f>
        <v xml:space="preserve">   Inde</v>
      </c>
      <c r="C1062">
        <v>7194000</v>
      </c>
      <c r="D1062">
        <v>95920</v>
      </c>
    </row>
    <row r="1063" spans="1:4" x14ac:dyDescent="0.25">
      <c r="A1063" t="str">
        <f>T("810210")</f>
        <v>810210</v>
      </c>
      <c r="B1063" t="str">
        <f>T("Poudres de molybdène")</f>
        <v>Poudres de molybdène</v>
      </c>
    </row>
    <row r="1064" spans="1:4" x14ac:dyDescent="0.25">
      <c r="A1064" t="str">
        <f>T("   ZZZ_Monde")</f>
        <v xml:space="preserve">   ZZZ_Monde</v>
      </c>
      <c r="B1064" t="str">
        <f>T("   ZZZ_Monde")</f>
        <v xml:space="preserve">   ZZZ_Monde</v>
      </c>
      <c r="C1064">
        <v>1254300</v>
      </c>
      <c r="D1064">
        <v>125430</v>
      </c>
    </row>
    <row r="1065" spans="1:4" x14ac:dyDescent="0.25">
      <c r="A1065" t="str">
        <f>T("   KR")</f>
        <v xml:space="preserve">   KR</v>
      </c>
      <c r="B1065" t="str">
        <f>T("   Corée, République de")</f>
        <v xml:space="preserve">   Corée, République de</v>
      </c>
      <c r="C1065">
        <v>1254300</v>
      </c>
      <c r="D1065">
        <v>125430</v>
      </c>
    </row>
    <row r="1066" spans="1:4" x14ac:dyDescent="0.25">
      <c r="A1066" t="str">
        <f>T("820559")</f>
        <v>820559</v>
      </c>
      <c r="B1066" t="str">
        <f>T("Outils à main, y.c. -les diamants de vitrier-, en métaux communs, n.d.a.")</f>
        <v>Outils à main, y.c. -les diamants de vitrier-, en métaux communs, n.d.a.</v>
      </c>
    </row>
    <row r="1067" spans="1:4" x14ac:dyDescent="0.25">
      <c r="A1067" t="str">
        <f>T("   ZZZ_Monde")</f>
        <v xml:space="preserve">   ZZZ_Monde</v>
      </c>
      <c r="B1067" t="str">
        <f>T("   ZZZ_Monde")</f>
        <v xml:space="preserve">   ZZZ_Monde</v>
      </c>
      <c r="C1067">
        <v>497939</v>
      </c>
      <c r="D1067">
        <v>963</v>
      </c>
    </row>
    <row r="1068" spans="1:4" x14ac:dyDescent="0.25">
      <c r="A1068" t="str">
        <f>T("   FR")</f>
        <v xml:space="preserve">   FR</v>
      </c>
      <c r="B1068" t="str">
        <f>T("   France")</f>
        <v xml:space="preserve">   France</v>
      </c>
      <c r="C1068">
        <v>497939</v>
      </c>
      <c r="D1068">
        <v>963</v>
      </c>
    </row>
    <row r="1069" spans="1:4" x14ac:dyDescent="0.25">
      <c r="A1069" t="str">
        <f>T("820590")</f>
        <v>820590</v>
      </c>
      <c r="B1069" t="str">
        <f>T("Assortiments d'outils d'au moins deux des sous-positions du n° 8205")</f>
        <v>Assortiments d'outils d'au moins deux des sous-positions du n° 8205</v>
      </c>
    </row>
    <row r="1070" spans="1:4" x14ac:dyDescent="0.25">
      <c r="A1070" t="str">
        <f>T("   ZZZ_Monde")</f>
        <v xml:space="preserve">   ZZZ_Monde</v>
      </c>
      <c r="B1070" t="str">
        <f>T("   ZZZ_Monde")</f>
        <v xml:space="preserve">   ZZZ_Monde</v>
      </c>
      <c r="C1070">
        <v>4256715</v>
      </c>
      <c r="D1070">
        <v>908</v>
      </c>
    </row>
    <row r="1071" spans="1:4" x14ac:dyDescent="0.25">
      <c r="A1071" t="str">
        <f>T("   FR")</f>
        <v xml:space="preserve">   FR</v>
      </c>
      <c r="B1071" t="str">
        <f>T("   France")</f>
        <v xml:space="preserve">   France</v>
      </c>
      <c r="C1071">
        <v>4256715</v>
      </c>
      <c r="D1071">
        <v>908</v>
      </c>
    </row>
    <row r="1072" spans="1:4" x14ac:dyDescent="0.25">
      <c r="A1072" t="str">
        <f>T("820790")</f>
        <v>820790</v>
      </c>
      <c r="B1072" t="str">
        <f>T("Outils interchangeables pour outillage à main, mécanique ou non, ou pour machines-outils, n.d.a.")</f>
        <v>Outils interchangeables pour outillage à main, mécanique ou non, ou pour machines-outils, n.d.a.</v>
      </c>
    </row>
    <row r="1073" spans="1:4" x14ac:dyDescent="0.25">
      <c r="A1073" t="str">
        <f>T("   ZZZ_Monde")</f>
        <v xml:space="preserve">   ZZZ_Monde</v>
      </c>
      <c r="B1073" t="str">
        <f>T("   ZZZ_Monde")</f>
        <v xml:space="preserve">   ZZZ_Monde</v>
      </c>
      <c r="C1073">
        <v>6042876</v>
      </c>
      <c r="D1073">
        <v>4000</v>
      </c>
    </row>
    <row r="1074" spans="1:4" x14ac:dyDescent="0.25">
      <c r="A1074" t="str">
        <f>T("   BF")</f>
        <v xml:space="preserve">   BF</v>
      </c>
      <c r="B1074" t="str">
        <f>T("   Burkina Faso")</f>
        <v xml:space="preserve">   Burkina Faso</v>
      </c>
      <c r="C1074">
        <v>1140671</v>
      </c>
      <c r="D1074">
        <v>900</v>
      </c>
    </row>
    <row r="1075" spans="1:4" x14ac:dyDescent="0.25">
      <c r="A1075" t="str">
        <f>T("   NL")</f>
        <v xml:space="preserve">   NL</v>
      </c>
      <c r="B1075" t="str">
        <f>T("   Pays-bas")</f>
        <v xml:space="preserve">   Pays-bas</v>
      </c>
      <c r="C1075">
        <v>77686</v>
      </c>
      <c r="D1075">
        <v>600</v>
      </c>
    </row>
    <row r="1076" spans="1:4" x14ac:dyDescent="0.25">
      <c r="A1076" t="str">
        <f>T("   TG")</f>
        <v xml:space="preserve">   TG</v>
      </c>
      <c r="B1076" t="str">
        <f>T("   Togo")</f>
        <v xml:space="preserve">   Togo</v>
      </c>
      <c r="C1076">
        <v>4824519</v>
      </c>
      <c r="D1076">
        <v>2500</v>
      </c>
    </row>
    <row r="1077" spans="1:4" x14ac:dyDescent="0.25">
      <c r="A1077" t="str">
        <f>T("840721")</f>
        <v>840721</v>
      </c>
      <c r="B1077" t="s">
        <v>14</v>
      </c>
    </row>
    <row r="1078" spans="1:4" x14ac:dyDescent="0.25">
      <c r="A1078" t="str">
        <f>T("   ZZZ_Monde")</f>
        <v xml:space="preserve">   ZZZ_Monde</v>
      </c>
      <c r="B1078" t="str">
        <f>T("   ZZZ_Monde")</f>
        <v xml:space="preserve">   ZZZ_Monde</v>
      </c>
      <c r="C1078">
        <v>5400000</v>
      </c>
      <c r="D1078">
        <v>800</v>
      </c>
    </row>
    <row r="1079" spans="1:4" x14ac:dyDescent="0.25">
      <c r="A1079" t="str">
        <f>T("   FR")</f>
        <v xml:space="preserve">   FR</v>
      </c>
      <c r="B1079" t="str">
        <f>T("   France")</f>
        <v xml:space="preserve">   France</v>
      </c>
      <c r="C1079">
        <v>2700000</v>
      </c>
      <c r="D1079">
        <v>400</v>
      </c>
    </row>
    <row r="1080" spans="1:4" x14ac:dyDescent="0.25">
      <c r="A1080" t="str">
        <f>T("   US")</f>
        <v xml:space="preserve">   US</v>
      </c>
      <c r="B1080" t="str">
        <f>T("   Etats-Unis")</f>
        <v xml:space="preserve">   Etats-Unis</v>
      </c>
      <c r="C1080">
        <v>2700000</v>
      </c>
      <c r="D1080">
        <v>400</v>
      </c>
    </row>
    <row r="1081" spans="1:4" x14ac:dyDescent="0.25">
      <c r="A1081" t="str">
        <f>T("840790")</f>
        <v>840790</v>
      </c>
      <c r="B1081" t="s">
        <v>15</v>
      </c>
    </row>
    <row r="1082" spans="1:4" x14ac:dyDescent="0.25">
      <c r="A1082" t="str">
        <f>T("   ZZZ_Monde")</f>
        <v xml:space="preserve">   ZZZ_Monde</v>
      </c>
      <c r="B1082" t="str">
        <f>T("   ZZZ_Monde")</f>
        <v xml:space="preserve">   ZZZ_Monde</v>
      </c>
      <c r="C1082">
        <v>240000</v>
      </c>
      <c r="D1082">
        <v>200</v>
      </c>
    </row>
    <row r="1083" spans="1:4" x14ac:dyDescent="0.25">
      <c r="A1083" t="str">
        <f>T("   GQ")</f>
        <v xml:space="preserve">   GQ</v>
      </c>
      <c r="B1083" t="str">
        <f>T("   Guinée Equatoriale")</f>
        <v xml:space="preserve">   Guinée Equatoriale</v>
      </c>
      <c r="C1083">
        <v>240000</v>
      </c>
      <c r="D1083">
        <v>200</v>
      </c>
    </row>
    <row r="1084" spans="1:4" x14ac:dyDescent="0.25">
      <c r="A1084" t="str">
        <f>T("840890")</f>
        <v>840890</v>
      </c>
      <c r="B1084" t="s">
        <v>16</v>
      </c>
    </row>
    <row r="1085" spans="1:4" x14ac:dyDescent="0.25">
      <c r="A1085" t="str">
        <f>T("   ZZZ_Monde")</f>
        <v xml:space="preserve">   ZZZ_Monde</v>
      </c>
      <c r="B1085" t="str">
        <f>T("   ZZZ_Monde")</f>
        <v xml:space="preserve">   ZZZ_Monde</v>
      </c>
      <c r="C1085">
        <v>11706262</v>
      </c>
      <c r="D1085">
        <v>2062</v>
      </c>
    </row>
    <row r="1086" spans="1:4" x14ac:dyDescent="0.25">
      <c r="A1086" t="str">
        <f>T("   DE")</f>
        <v xml:space="preserve">   DE</v>
      </c>
      <c r="B1086" t="str">
        <f>T("   Allemagne")</f>
        <v xml:space="preserve">   Allemagne</v>
      </c>
      <c r="C1086">
        <v>11706262</v>
      </c>
      <c r="D1086">
        <v>2062</v>
      </c>
    </row>
    <row r="1087" spans="1:4" x14ac:dyDescent="0.25">
      <c r="A1087" t="str">
        <f>T("840999")</f>
        <v>840999</v>
      </c>
      <c r="B1087" t="str">
        <f>T("Parties reconnaissables comme étant exclusivement ou principalement destinées aux moteurs à piston à allumage par compression, n.d.a.")</f>
        <v>Parties reconnaissables comme étant exclusivement ou principalement destinées aux moteurs à piston à allumage par compression, n.d.a.</v>
      </c>
    </row>
    <row r="1088" spans="1:4" x14ac:dyDescent="0.25">
      <c r="A1088" t="str">
        <f>T("   ZZZ_Monde")</f>
        <v xml:space="preserve">   ZZZ_Monde</v>
      </c>
      <c r="B1088" t="str">
        <f>T("   ZZZ_Monde")</f>
        <v xml:space="preserve">   ZZZ_Monde</v>
      </c>
      <c r="C1088">
        <v>38904046</v>
      </c>
      <c r="D1088">
        <v>7500</v>
      </c>
    </row>
    <row r="1089" spans="1:4" x14ac:dyDescent="0.25">
      <c r="A1089" t="str">
        <f>T("   NG")</f>
        <v xml:space="preserve">   NG</v>
      </c>
      <c r="B1089" t="str">
        <f>T("   Nigéria")</f>
        <v xml:space="preserve">   Nigéria</v>
      </c>
      <c r="C1089">
        <v>38904046</v>
      </c>
      <c r="D1089">
        <v>7500</v>
      </c>
    </row>
    <row r="1090" spans="1:4" x14ac:dyDescent="0.25">
      <c r="A1090" t="str">
        <f>T("841090")</f>
        <v>841090</v>
      </c>
      <c r="B1090" t="str">
        <f>T("Parties de turbines hydrauliques ou de roues hydrauliques, n.d.a., ainsi que les régulateurs pour turbines hydrauliques")</f>
        <v>Parties de turbines hydrauliques ou de roues hydrauliques, n.d.a., ainsi que les régulateurs pour turbines hydrauliques</v>
      </c>
    </row>
    <row r="1091" spans="1:4" x14ac:dyDescent="0.25">
      <c r="A1091" t="str">
        <f>T("   ZZZ_Monde")</f>
        <v xml:space="preserve">   ZZZ_Monde</v>
      </c>
      <c r="B1091" t="str">
        <f>T("   ZZZ_Monde")</f>
        <v xml:space="preserve">   ZZZ_Monde</v>
      </c>
      <c r="C1091">
        <v>50000</v>
      </c>
      <c r="D1091">
        <v>75</v>
      </c>
    </row>
    <row r="1092" spans="1:4" x14ac:dyDescent="0.25">
      <c r="A1092" t="str">
        <f>T("   CM")</f>
        <v xml:space="preserve">   CM</v>
      </c>
      <c r="B1092" t="str">
        <f>T("   Cameroun")</f>
        <v xml:space="preserve">   Cameroun</v>
      </c>
      <c r="C1092">
        <v>50000</v>
      </c>
      <c r="D1092">
        <v>75</v>
      </c>
    </row>
    <row r="1093" spans="1:4" x14ac:dyDescent="0.25">
      <c r="A1093" t="str">
        <f>T("841280")</f>
        <v>841280</v>
      </c>
      <c r="B1093" t="str">
        <f>T("Moteurs et machines motrices (à l'excl. des turbines à vapeur, moteurs à piston, turbines hydrauliques, roues hydrauliques, turbines à gaz, moteurs à réaction, moteurs hydrauliques et oléohydrauliques, moteurs pneumatiques et sauf moteurs électriques)")</f>
        <v>Moteurs et machines motrices (à l'excl. des turbines à vapeur, moteurs à piston, turbines hydrauliques, roues hydrauliques, turbines à gaz, moteurs à réaction, moteurs hydrauliques et oléohydrauliques, moteurs pneumatiques et sauf moteurs électriques)</v>
      </c>
    </row>
    <row r="1094" spans="1:4" x14ac:dyDescent="0.25">
      <c r="A1094" t="str">
        <f>T("   ZZZ_Monde")</f>
        <v xml:space="preserve">   ZZZ_Monde</v>
      </c>
      <c r="B1094" t="str">
        <f>T("   ZZZ_Monde")</f>
        <v xml:space="preserve">   ZZZ_Monde</v>
      </c>
      <c r="C1094">
        <v>360000</v>
      </c>
      <c r="D1094">
        <v>2000</v>
      </c>
    </row>
    <row r="1095" spans="1:4" x14ac:dyDescent="0.25">
      <c r="A1095" t="str">
        <f>T("   GQ")</f>
        <v xml:space="preserve">   GQ</v>
      </c>
      <c r="B1095" t="str">
        <f>T("   Guinée Equatoriale")</f>
        <v xml:space="preserve">   Guinée Equatoriale</v>
      </c>
      <c r="C1095">
        <v>360000</v>
      </c>
      <c r="D1095">
        <v>2000</v>
      </c>
    </row>
    <row r="1096" spans="1:4" x14ac:dyDescent="0.25">
      <c r="A1096" t="str">
        <f>T("841381")</f>
        <v>841381</v>
      </c>
      <c r="B1096" t="str">
        <f>T("Pompes pour liquides à moteur (sauf pompes à dispositif mesureur ou conçues pour en comporter du n° 8413.11 ou 8413.19, pompes à carburant, à huile ou à liquide de refroidissement pour moteurs à allumage par étincelles ou par compression, pompes à béton,")</f>
        <v>Pompes pour liquides à moteur (sauf pompes à dispositif mesureur ou conçues pour en comporter du n° 8413.11 ou 8413.19, pompes à carburant, à huile ou à liquide de refroidissement pour moteurs à allumage par étincelles ou par compression, pompes à béton,</v>
      </c>
    </row>
    <row r="1097" spans="1:4" x14ac:dyDescent="0.25">
      <c r="A1097" t="str">
        <f>T("   ZZZ_Monde")</f>
        <v xml:space="preserve">   ZZZ_Monde</v>
      </c>
      <c r="B1097" t="str">
        <f>T("   ZZZ_Monde")</f>
        <v xml:space="preserve">   ZZZ_Monde</v>
      </c>
      <c r="C1097">
        <v>21535982</v>
      </c>
      <c r="D1097">
        <v>5250</v>
      </c>
    </row>
    <row r="1098" spans="1:4" x14ac:dyDescent="0.25">
      <c r="A1098" t="str">
        <f>T("   BF")</f>
        <v xml:space="preserve">   BF</v>
      </c>
      <c r="B1098" t="str">
        <f>T("   Burkina Faso")</f>
        <v xml:space="preserve">   Burkina Faso</v>
      </c>
      <c r="C1098">
        <v>2000000</v>
      </c>
      <c r="D1098">
        <v>520</v>
      </c>
    </row>
    <row r="1099" spans="1:4" x14ac:dyDescent="0.25">
      <c r="A1099" t="str">
        <f>T("   CN")</f>
        <v xml:space="preserve">   CN</v>
      </c>
      <c r="B1099" t="str">
        <f>T("   Chine")</f>
        <v xml:space="preserve">   Chine</v>
      </c>
      <c r="C1099">
        <v>274030</v>
      </c>
      <c r="D1099">
        <v>500</v>
      </c>
    </row>
    <row r="1100" spans="1:4" x14ac:dyDescent="0.25">
      <c r="A1100" t="str">
        <f>T("   DE")</f>
        <v xml:space="preserve">   DE</v>
      </c>
      <c r="B1100" t="str">
        <f>T("   Allemagne")</f>
        <v xml:space="preserve">   Allemagne</v>
      </c>
      <c r="C1100">
        <v>672090</v>
      </c>
      <c r="D1100">
        <v>530</v>
      </c>
    </row>
    <row r="1101" spans="1:4" x14ac:dyDescent="0.25">
      <c r="A1101" t="str">
        <f>T("   ML")</f>
        <v xml:space="preserve">   ML</v>
      </c>
      <c r="B1101" t="str">
        <f>T("   Mali")</f>
        <v xml:space="preserve">   Mali</v>
      </c>
      <c r="C1101">
        <v>11712166</v>
      </c>
      <c r="D1101">
        <v>1600</v>
      </c>
    </row>
    <row r="1102" spans="1:4" x14ac:dyDescent="0.25">
      <c r="A1102" t="str">
        <f>T("   TG")</f>
        <v xml:space="preserve">   TG</v>
      </c>
      <c r="B1102" t="str">
        <f>T("   Togo")</f>
        <v xml:space="preserve">   Togo</v>
      </c>
      <c r="C1102">
        <v>6877696</v>
      </c>
      <c r="D1102">
        <v>2100</v>
      </c>
    </row>
    <row r="1103" spans="1:4" x14ac:dyDescent="0.25">
      <c r="A1103" t="str">
        <f>T("841382")</f>
        <v>841382</v>
      </c>
      <c r="B1103" t="str">
        <f>T("Elévateurs à liquides (à l'excl. des pompes)")</f>
        <v>Elévateurs à liquides (à l'excl. des pompes)</v>
      </c>
    </row>
    <row r="1104" spans="1:4" x14ac:dyDescent="0.25">
      <c r="A1104" t="str">
        <f>T("   ZZZ_Monde")</f>
        <v xml:space="preserve">   ZZZ_Monde</v>
      </c>
      <c r="B1104" t="str">
        <f>T("   ZZZ_Monde")</f>
        <v xml:space="preserve">   ZZZ_Monde</v>
      </c>
      <c r="C1104">
        <v>416000</v>
      </c>
      <c r="D1104">
        <v>1000</v>
      </c>
    </row>
    <row r="1105" spans="1:4" x14ac:dyDescent="0.25">
      <c r="A1105" t="str">
        <f>T("   BF")</f>
        <v xml:space="preserve">   BF</v>
      </c>
      <c r="B1105" t="str">
        <f>T("   Burkina Faso")</f>
        <v xml:space="preserve">   Burkina Faso</v>
      </c>
      <c r="C1105">
        <v>416000</v>
      </c>
      <c r="D1105">
        <v>1000</v>
      </c>
    </row>
    <row r="1106" spans="1:4" x14ac:dyDescent="0.25">
      <c r="A1106" t="str">
        <f>T("841430")</f>
        <v>841430</v>
      </c>
      <c r="B1106" t="str">
        <f>T("Compresseurs des types utilisés pour équipements frigorifiques")</f>
        <v>Compresseurs des types utilisés pour équipements frigorifiques</v>
      </c>
    </row>
    <row r="1107" spans="1:4" x14ac:dyDescent="0.25">
      <c r="A1107" t="str">
        <f>T("   ZZZ_Monde")</f>
        <v xml:space="preserve">   ZZZ_Monde</v>
      </c>
      <c r="B1107" t="str">
        <f>T("   ZZZ_Monde")</f>
        <v xml:space="preserve">   ZZZ_Monde</v>
      </c>
      <c r="C1107">
        <v>1805400</v>
      </c>
      <c r="D1107">
        <v>1250</v>
      </c>
    </row>
    <row r="1108" spans="1:4" x14ac:dyDescent="0.25">
      <c r="A1108" t="str">
        <f>T("   NE")</f>
        <v xml:space="preserve">   NE</v>
      </c>
      <c r="B1108" t="str">
        <f>T("   Niger")</f>
        <v xml:space="preserve">   Niger</v>
      </c>
      <c r="C1108">
        <v>1805400</v>
      </c>
      <c r="D1108">
        <v>1250</v>
      </c>
    </row>
    <row r="1109" spans="1:4" x14ac:dyDescent="0.25">
      <c r="A1109" t="str">
        <f>T("841440")</f>
        <v>841440</v>
      </c>
      <c r="B1109" t="str">
        <f>T("Compresseurs d'air montés sur châssis à roues et remorquables")</f>
        <v>Compresseurs d'air montés sur châssis à roues et remorquables</v>
      </c>
    </row>
    <row r="1110" spans="1:4" x14ac:dyDescent="0.25">
      <c r="A1110" t="str">
        <f>T("   ZZZ_Monde")</f>
        <v xml:space="preserve">   ZZZ_Monde</v>
      </c>
      <c r="B1110" t="str">
        <f>T("   ZZZ_Monde")</f>
        <v xml:space="preserve">   ZZZ_Monde</v>
      </c>
      <c r="C1110">
        <v>3400000</v>
      </c>
      <c r="D1110">
        <v>675</v>
      </c>
    </row>
    <row r="1111" spans="1:4" x14ac:dyDescent="0.25">
      <c r="A1111" t="str">
        <f>T("   BF")</f>
        <v xml:space="preserve">   BF</v>
      </c>
      <c r="B1111" t="str">
        <f>T("   Burkina Faso")</f>
        <v xml:space="preserve">   Burkina Faso</v>
      </c>
      <c r="C1111">
        <v>3400000</v>
      </c>
      <c r="D1111">
        <v>675</v>
      </c>
    </row>
    <row r="1112" spans="1:4" x14ac:dyDescent="0.25">
      <c r="A1112" t="str">
        <f>T("841451")</f>
        <v>841451</v>
      </c>
      <c r="B1112" t="str">
        <f>T("Ventilateurs de table, de sol, muraux, plafonniers, de toitures ou de fenêtres, à moteur électrique incorporé, d'une puissance &lt;= 125 W")</f>
        <v>Ventilateurs de table, de sol, muraux, plafonniers, de toitures ou de fenêtres, à moteur électrique incorporé, d'une puissance &lt;= 125 W</v>
      </c>
    </row>
    <row r="1113" spans="1:4" x14ac:dyDescent="0.25">
      <c r="A1113" t="str">
        <f>T("   ZZZ_Monde")</f>
        <v xml:space="preserve">   ZZZ_Monde</v>
      </c>
      <c r="B1113" t="str">
        <f>T("   ZZZ_Monde")</f>
        <v xml:space="preserve">   ZZZ_Monde</v>
      </c>
      <c r="C1113">
        <v>707388</v>
      </c>
      <c r="D1113">
        <v>224</v>
      </c>
    </row>
    <row r="1114" spans="1:4" x14ac:dyDescent="0.25">
      <c r="A1114" t="str">
        <f>T("   CG")</f>
        <v xml:space="preserve">   CG</v>
      </c>
      <c r="B1114" t="str">
        <f>T("   Congo (Brazzaville)")</f>
        <v xml:space="preserve">   Congo (Brazzaville)</v>
      </c>
      <c r="C1114">
        <v>72000</v>
      </c>
      <c r="D1114">
        <v>50</v>
      </c>
    </row>
    <row r="1115" spans="1:4" x14ac:dyDescent="0.25">
      <c r="A1115" t="str">
        <f>T("   TG")</f>
        <v xml:space="preserve">   TG</v>
      </c>
      <c r="B1115" t="str">
        <f>T("   Togo")</f>
        <v xml:space="preserve">   Togo</v>
      </c>
      <c r="C1115">
        <v>635388</v>
      </c>
      <c r="D1115">
        <v>174</v>
      </c>
    </row>
    <row r="1116" spans="1:4" x14ac:dyDescent="0.25">
      <c r="A1116" t="str">
        <f>T("841510")</f>
        <v>841510</v>
      </c>
      <c r="B1116" t="s">
        <v>17</v>
      </c>
    </row>
    <row r="1117" spans="1:4" x14ac:dyDescent="0.25">
      <c r="A1117" t="str">
        <f>T("   ZZZ_Monde")</f>
        <v xml:space="preserve">   ZZZ_Monde</v>
      </c>
      <c r="B1117" t="str">
        <f>T("   ZZZ_Monde")</f>
        <v xml:space="preserve">   ZZZ_Monde</v>
      </c>
      <c r="C1117">
        <v>3658006</v>
      </c>
      <c r="D1117">
        <v>1170</v>
      </c>
    </row>
    <row r="1118" spans="1:4" x14ac:dyDescent="0.25">
      <c r="A1118" t="str">
        <f>T("   CM")</f>
        <v xml:space="preserve">   CM</v>
      </c>
      <c r="B1118" t="str">
        <f>T("   Cameroun")</f>
        <v xml:space="preserve">   Cameroun</v>
      </c>
      <c r="C1118">
        <v>300000</v>
      </c>
      <c r="D1118">
        <v>450</v>
      </c>
    </row>
    <row r="1119" spans="1:4" x14ac:dyDescent="0.25">
      <c r="A1119" t="str">
        <f>T("   TG")</f>
        <v xml:space="preserve">   TG</v>
      </c>
      <c r="B1119" t="str">
        <f>T("   Togo")</f>
        <v xml:space="preserve">   Togo</v>
      </c>
      <c r="C1119">
        <v>3358006</v>
      </c>
      <c r="D1119">
        <v>720</v>
      </c>
    </row>
    <row r="1120" spans="1:4" x14ac:dyDescent="0.25">
      <c r="A1120" t="str">
        <f>T("841582")</f>
        <v>841582</v>
      </c>
      <c r="B1120" t="str">
        <f>T("Machines et appareils pour le conditionnement de l'air, avec dispositif de réfrigération mais sans soupape d'inversion du cycle thermique (autres que machines et appareils du type de ceux utilisés pour le confort des personnes dans les véhicules automobil")</f>
        <v>Machines et appareils pour le conditionnement de l'air, avec dispositif de réfrigération mais sans soupape d'inversion du cycle thermique (autres que machines et appareils du type de ceux utilisés pour le confort des personnes dans les véhicules automobil</v>
      </c>
    </row>
    <row r="1121" spans="1:4" x14ac:dyDescent="0.25">
      <c r="A1121" t="str">
        <f>T("   ZZZ_Monde")</f>
        <v xml:space="preserve">   ZZZ_Monde</v>
      </c>
      <c r="B1121" t="str">
        <f>T("   ZZZ_Monde")</f>
        <v xml:space="preserve">   ZZZ_Monde</v>
      </c>
      <c r="C1121">
        <v>650000</v>
      </c>
      <c r="D1121">
        <v>2500</v>
      </c>
    </row>
    <row r="1122" spans="1:4" x14ac:dyDescent="0.25">
      <c r="A1122" t="str">
        <f>T("   ML")</f>
        <v xml:space="preserve">   ML</v>
      </c>
      <c r="B1122" t="str">
        <f>T("   Mali")</f>
        <v xml:space="preserve">   Mali</v>
      </c>
      <c r="C1122">
        <v>650000</v>
      </c>
      <c r="D1122">
        <v>2500</v>
      </c>
    </row>
    <row r="1123" spans="1:4" x14ac:dyDescent="0.25">
      <c r="A1123" t="str">
        <f>T("841810")</f>
        <v>841810</v>
      </c>
      <c r="B1123" t="str">
        <f>T("Réfrigérateurs et congélateurs-conservateurs combinés, avec portes extérieures séparées")</f>
        <v>Réfrigérateurs et congélateurs-conservateurs combinés, avec portes extérieures séparées</v>
      </c>
    </row>
    <row r="1124" spans="1:4" x14ac:dyDescent="0.25">
      <c r="A1124" t="str">
        <f>T("   ZZZ_Monde")</f>
        <v xml:space="preserve">   ZZZ_Monde</v>
      </c>
      <c r="B1124" t="str">
        <f>T("   ZZZ_Monde")</f>
        <v xml:space="preserve">   ZZZ_Monde</v>
      </c>
      <c r="C1124">
        <v>4239981</v>
      </c>
      <c r="D1124">
        <v>1074</v>
      </c>
    </row>
    <row r="1125" spans="1:4" x14ac:dyDescent="0.25">
      <c r="A1125" t="str">
        <f>T("   TG")</f>
        <v xml:space="preserve">   TG</v>
      </c>
      <c r="B1125" t="str">
        <f>T("   Togo")</f>
        <v xml:space="preserve">   Togo</v>
      </c>
      <c r="C1125">
        <v>4239981</v>
      </c>
      <c r="D1125">
        <v>1074</v>
      </c>
    </row>
    <row r="1126" spans="1:4" x14ac:dyDescent="0.25">
      <c r="A1126" t="str">
        <f>T("841829")</f>
        <v>841829</v>
      </c>
      <c r="B1126" t="str">
        <f>T("Réfrigérateurs ménagers à absorption, non-électriques")</f>
        <v>Réfrigérateurs ménagers à absorption, non-électriques</v>
      </c>
    </row>
    <row r="1127" spans="1:4" x14ac:dyDescent="0.25">
      <c r="A1127" t="str">
        <f>T("   ZZZ_Monde")</f>
        <v xml:space="preserve">   ZZZ_Monde</v>
      </c>
      <c r="B1127" t="str">
        <f>T("   ZZZ_Monde")</f>
        <v xml:space="preserve">   ZZZ_Monde</v>
      </c>
      <c r="C1127">
        <v>10985611</v>
      </c>
      <c r="D1127">
        <v>6841</v>
      </c>
    </row>
    <row r="1128" spans="1:4" x14ac:dyDescent="0.25">
      <c r="A1128" t="str">
        <f>T("   GH")</f>
        <v xml:space="preserve">   GH</v>
      </c>
      <c r="B1128" t="str">
        <f>T("   Ghana")</f>
        <v xml:space="preserve">   Ghana</v>
      </c>
      <c r="C1128">
        <v>552000</v>
      </c>
      <c r="D1128">
        <v>4210</v>
      </c>
    </row>
    <row r="1129" spans="1:4" x14ac:dyDescent="0.25">
      <c r="A1129" t="str">
        <f>T("   SN")</f>
        <v xml:space="preserve">   SN</v>
      </c>
      <c r="B1129" t="str">
        <f>T("   Sénégal")</f>
        <v xml:space="preserve">   Sénégal</v>
      </c>
      <c r="C1129">
        <v>300000</v>
      </c>
      <c r="D1129">
        <v>120</v>
      </c>
    </row>
    <row r="1130" spans="1:4" x14ac:dyDescent="0.25">
      <c r="A1130" t="str">
        <f>T("   TG")</f>
        <v xml:space="preserve">   TG</v>
      </c>
      <c r="B1130" t="str">
        <f>T("   Togo")</f>
        <v xml:space="preserve">   Togo</v>
      </c>
      <c r="C1130">
        <v>10133611</v>
      </c>
      <c r="D1130">
        <v>2511</v>
      </c>
    </row>
    <row r="1131" spans="1:4" x14ac:dyDescent="0.25">
      <c r="A1131" t="str">
        <f>T("841830")</f>
        <v>841830</v>
      </c>
      <c r="B1131" t="str">
        <f>T("Meubles congélateurs-conservateurs du type coffre, capacité &lt;= 800 l")</f>
        <v>Meubles congélateurs-conservateurs du type coffre, capacité &lt;= 800 l</v>
      </c>
    </row>
    <row r="1132" spans="1:4" x14ac:dyDescent="0.25">
      <c r="A1132" t="str">
        <f>T("   ZZZ_Monde")</f>
        <v xml:space="preserve">   ZZZ_Monde</v>
      </c>
      <c r="B1132" t="str">
        <f>T("   ZZZ_Monde")</f>
        <v xml:space="preserve">   ZZZ_Monde</v>
      </c>
      <c r="C1132">
        <v>2953644</v>
      </c>
      <c r="D1132">
        <v>748</v>
      </c>
    </row>
    <row r="1133" spans="1:4" x14ac:dyDescent="0.25">
      <c r="A1133" t="str">
        <f>T("   TG")</f>
        <v xml:space="preserve">   TG</v>
      </c>
      <c r="B1133" t="str">
        <f>T("   Togo")</f>
        <v xml:space="preserve">   Togo</v>
      </c>
      <c r="C1133">
        <v>2953644</v>
      </c>
      <c r="D1133">
        <v>748</v>
      </c>
    </row>
    <row r="1134" spans="1:4" x14ac:dyDescent="0.25">
      <c r="A1134" t="str">
        <f>T("841850")</f>
        <v>841850</v>
      </c>
      <c r="B1134" t="str">
        <f>T("MEUBLES [COFFRES, ARMOIRES, VITRINES, COMPTOIRS ET SIMIL.] POUR LA CONSERVATION ET L'EXPOSITION DE PRODUITS, INCORPORANT UN ÉQUIPEMENT POUR LA PRODUCTION DU FROID (SAUF RÉFRIGÉRATEURS ET CONGÉLATEURS-CONSERVATEURS COMBINÉS, À PORTES EXTÉRIEURES SÉPARÉES,")</f>
        <v>MEUBLES [COFFRES, ARMOIRES, VITRINES, COMPTOIRS ET SIMIL.] POUR LA CONSERVATION ET L'EXPOSITION DE PRODUITS, INCORPORANT UN ÉQUIPEMENT POUR LA PRODUCTION DU FROID (SAUF RÉFRIGÉRATEURS ET CONGÉLATEURS-CONSERVATEURS COMBINÉS, À PORTES EXTÉRIEURES SÉPARÉES,</v>
      </c>
    </row>
    <row r="1135" spans="1:4" x14ac:dyDescent="0.25">
      <c r="A1135" t="str">
        <f>T("   ZZZ_Monde")</f>
        <v xml:space="preserve">   ZZZ_Monde</v>
      </c>
      <c r="B1135" t="str">
        <f>T("   ZZZ_Monde")</f>
        <v xml:space="preserve">   ZZZ_Monde</v>
      </c>
      <c r="C1135">
        <v>5934084</v>
      </c>
      <c r="D1135">
        <v>1441</v>
      </c>
    </row>
    <row r="1136" spans="1:4" x14ac:dyDescent="0.25">
      <c r="A1136" t="str">
        <f>T("   TG")</f>
        <v xml:space="preserve">   TG</v>
      </c>
      <c r="B1136" t="str">
        <f>T("   Togo")</f>
        <v xml:space="preserve">   Togo</v>
      </c>
      <c r="C1136">
        <v>5934084</v>
      </c>
      <c r="D1136">
        <v>1441</v>
      </c>
    </row>
    <row r="1137" spans="1:4" x14ac:dyDescent="0.25">
      <c r="A1137" t="str">
        <f>T("842219")</f>
        <v>842219</v>
      </c>
      <c r="B1137" t="str">
        <f>T("Machines à laver la vaisselle (autres que de type ménager)")</f>
        <v>Machines à laver la vaisselle (autres que de type ménager)</v>
      </c>
    </row>
    <row r="1138" spans="1:4" x14ac:dyDescent="0.25">
      <c r="A1138" t="str">
        <f>T("   ZZZ_Monde")</f>
        <v xml:space="preserve">   ZZZ_Monde</v>
      </c>
      <c r="B1138" t="str">
        <f>T("   ZZZ_Monde")</f>
        <v xml:space="preserve">   ZZZ_Monde</v>
      </c>
      <c r="C1138">
        <v>1000000</v>
      </c>
      <c r="D1138">
        <v>200</v>
      </c>
    </row>
    <row r="1139" spans="1:4" x14ac:dyDescent="0.25">
      <c r="A1139" t="str">
        <f>T("   GA")</f>
        <v xml:space="preserve">   GA</v>
      </c>
      <c r="B1139" t="str">
        <f>T("   Gabon")</f>
        <v xml:space="preserve">   Gabon</v>
      </c>
      <c r="C1139">
        <v>1000000</v>
      </c>
      <c r="D1139">
        <v>200</v>
      </c>
    </row>
    <row r="1140" spans="1:4" x14ac:dyDescent="0.25">
      <c r="A1140" t="str">
        <f>T("842230")</f>
        <v>842230</v>
      </c>
      <c r="B1140" t="str">
        <f>T("Machines et appareils à remplir, fermer, boucher ou étiqueter les bouteilles, boîtes, sacs ou autres contenants; machines et appareils à capsuler les bouteilles, pots, tubes et contenants analogues; appareils à gazéifier les boissons")</f>
        <v>Machines et appareils à remplir, fermer, boucher ou étiqueter les bouteilles, boîtes, sacs ou autres contenants; machines et appareils à capsuler les bouteilles, pots, tubes et contenants analogues; appareils à gazéifier les boissons</v>
      </c>
    </row>
    <row r="1141" spans="1:4" x14ac:dyDescent="0.25">
      <c r="A1141" t="str">
        <f>T("   ZZZ_Monde")</f>
        <v xml:space="preserve">   ZZZ_Monde</v>
      </c>
      <c r="B1141" t="str">
        <f>T("   ZZZ_Monde")</f>
        <v xml:space="preserve">   ZZZ_Monde</v>
      </c>
      <c r="C1141">
        <v>25832800</v>
      </c>
      <c r="D1141">
        <v>135000</v>
      </c>
    </row>
    <row r="1142" spans="1:4" x14ac:dyDescent="0.25">
      <c r="A1142" t="str">
        <f>T("   DO")</f>
        <v xml:space="preserve">   DO</v>
      </c>
      <c r="B1142" t="str">
        <f>T("   Dominicaine, République")</f>
        <v xml:space="preserve">   Dominicaine, République</v>
      </c>
      <c r="C1142">
        <v>15766450</v>
      </c>
      <c r="D1142">
        <v>60000</v>
      </c>
    </row>
    <row r="1143" spans="1:4" x14ac:dyDescent="0.25">
      <c r="A1143" t="str">
        <f>T("   TG")</f>
        <v xml:space="preserve">   TG</v>
      </c>
      <c r="B1143" t="str">
        <f>T("   Togo")</f>
        <v xml:space="preserve">   Togo</v>
      </c>
      <c r="C1143">
        <v>10066350</v>
      </c>
      <c r="D1143">
        <v>75000</v>
      </c>
    </row>
    <row r="1144" spans="1:4" x14ac:dyDescent="0.25">
      <c r="A1144" t="str">
        <f>T("842539")</f>
        <v>842539</v>
      </c>
      <c r="B1144" t="str">
        <f>T("Treuils et cabestans, autres qu'à moteur électrique (sauf treuils pour puits de mines et sauf treuils spécialement conçus pour mines au fond)")</f>
        <v>Treuils et cabestans, autres qu'à moteur électrique (sauf treuils pour puits de mines et sauf treuils spécialement conçus pour mines au fond)</v>
      </c>
    </row>
    <row r="1145" spans="1:4" x14ac:dyDescent="0.25">
      <c r="A1145" t="str">
        <f>T("   ZZZ_Monde")</f>
        <v xml:space="preserve">   ZZZ_Monde</v>
      </c>
      <c r="B1145" t="str">
        <f>T("   ZZZ_Monde")</f>
        <v xml:space="preserve">   ZZZ_Monde</v>
      </c>
      <c r="C1145">
        <v>1967880</v>
      </c>
      <c r="D1145">
        <v>3000</v>
      </c>
    </row>
    <row r="1146" spans="1:4" x14ac:dyDescent="0.25">
      <c r="A1146" t="str">
        <f>T("   FR")</f>
        <v xml:space="preserve">   FR</v>
      </c>
      <c r="B1146" t="str">
        <f>T("   France")</f>
        <v xml:space="preserve">   France</v>
      </c>
      <c r="C1146">
        <v>1967880</v>
      </c>
      <c r="D1146">
        <v>3000</v>
      </c>
    </row>
    <row r="1147" spans="1:4" x14ac:dyDescent="0.25">
      <c r="A1147" t="str">
        <f>T("842620")</f>
        <v>842620</v>
      </c>
      <c r="B1147" t="str">
        <f>T("Grues à tour")</f>
        <v>Grues à tour</v>
      </c>
    </row>
    <row r="1148" spans="1:4" x14ac:dyDescent="0.25">
      <c r="A1148" t="str">
        <f>T("   ZZZ_Monde")</f>
        <v xml:space="preserve">   ZZZ_Monde</v>
      </c>
      <c r="B1148" t="str">
        <f>T("   ZZZ_Monde")</f>
        <v xml:space="preserve">   ZZZ_Monde</v>
      </c>
      <c r="C1148">
        <v>16612500</v>
      </c>
      <c r="D1148">
        <v>19500</v>
      </c>
    </row>
    <row r="1149" spans="1:4" x14ac:dyDescent="0.25">
      <c r="A1149" t="str">
        <f>T("   TG")</f>
        <v xml:space="preserve">   TG</v>
      </c>
      <c r="B1149" t="str">
        <f>T("   Togo")</f>
        <v xml:space="preserve">   Togo</v>
      </c>
      <c r="C1149">
        <v>16612500</v>
      </c>
      <c r="D1149">
        <v>19500</v>
      </c>
    </row>
    <row r="1150" spans="1:4" x14ac:dyDescent="0.25">
      <c r="A1150" t="str">
        <f>T("842649")</f>
        <v>842649</v>
      </c>
      <c r="B1150" t="str">
        <f>T("Bigues et chariots-grues et appareils autopropulsés (autres que sur pneumatiques et sauf chariots-cavaliers)")</f>
        <v>Bigues et chariots-grues et appareils autopropulsés (autres que sur pneumatiques et sauf chariots-cavaliers)</v>
      </c>
    </row>
    <row r="1151" spans="1:4" x14ac:dyDescent="0.25">
      <c r="A1151" t="str">
        <f>T("   ZZZ_Monde")</f>
        <v xml:space="preserve">   ZZZ_Monde</v>
      </c>
      <c r="B1151" t="str">
        <f>T("   ZZZ_Monde")</f>
        <v xml:space="preserve">   ZZZ_Monde</v>
      </c>
      <c r="C1151">
        <v>244493203</v>
      </c>
      <c r="D1151">
        <v>206912</v>
      </c>
    </row>
    <row r="1152" spans="1:4" x14ac:dyDescent="0.25">
      <c r="A1152" t="str">
        <f>T("   MA")</f>
        <v xml:space="preserve">   MA</v>
      </c>
      <c r="B1152" t="str">
        <f>T("   Maroc")</f>
        <v xml:space="preserve">   Maroc</v>
      </c>
      <c r="C1152">
        <v>190553100</v>
      </c>
      <c r="D1152">
        <v>166912</v>
      </c>
    </row>
    <row r="1153" spans="1:4" x14ac:dyDescent="0.25">
      <c r="A1153" t="str">
        <f>T("   SN")</f>
        <v xml:space="preserve">   SN</v>
      </c>
      <c r="B1153" t="str">
        <f>T("   Sénégal")</f>
        <v xml:space="preserve">   Sénégal</v>
      </c>
      <c r="C1153">
        <v>53940103</v>
      </c>
      <c r="D1153">
        <v>40000</v>
      </c>
    </row>
    <row r="1154" spans="1:4" x14ac:dyDescent="0.25">
      <c r="A1154" t="str">
        <f>T("842720")</f>
        <v>842720</v>
      </c>
      <c r="B1154" t="str">
        <f>T("Chariots de manutention autopropulsés, autres qu'à moteur électrique, avec dispositif de levage")</f>
        <v>Chariots de manutention autopropulsés, autres qu'à moteur électrique, avec dispositif de levage</v>
      </c>
    </row>
    <row r="1155" spans="1:4" x14ac:dyDescent="0.25">
      <c r="A1155" t="str">
        <f>T("   ZZZ_Monde")</f>
        <v xml:space="preserve">   ZZZ_Monde</v>
      </c>
      <c r="B1155" t="str">
        <f>T("   ZZZ_Monde")</f>
        <v xml:space="preserve">   ZZZ_Monde</v>
      </c>
      <c r="C1155">
        <v>70732209</v>
      </c>
      <c r="D1155">
        <v>34004</v>
      </c>
    </row>
    <row r="1156" spans="1:4" x14ac:dyDescent="0.25">
      <c r="A1156" t="str">
        <f>T("   GH")</f>
        <v xml:space="preserve">   GH</v>
      </c>
      <c r="B1156" t="str">
        <f>T("   Ghana")</f>
        <v xml:space="preserve">   Ghana</v>
      </c>
      <c r="C1156">
        <v>6042089</v>
      </c>
      <c r="D1156">
        <v>15974</v>
      </c>
    </row>
    <row r="1157" spans="1:4" x14ac:dyDescent="0.25">
      <c r="A1157" t="str">
        <f>T("   TG")</f>
        <v xml:space="preserve">   TG</v>
      </c>
      <c r="B1157" t="str">
        <f>T("   Togo")</f>
        <v xml:space="preserve">   Togo</v>
      </c>
      <c r="C1157">
        <v>64690120</v>
      </c>
      <c r="D1157">
        <v>18030</v>
      </c>
    </row>
    <row r="1158" spans="1:4" x14ac:dyDescent="0.25">
      <c r="A1158" t="str">
        <f>T("842890")</f>
        <v>842890</v>
      </c>
      <c r="B1158" t="str">
        <f>T("Machines et appareils de levage, chargement, déchargement ou manutention, n.d.a.")</f>
        <v>Machines et appareils de levage, chargement, déchargement ou manutention, n.d.a.</v>
      </c>
    </row>
    <row r="1159" spans="1:4" x14ac:dyDescent="0.25">
      <c r="A1159" t="str">
        <f>T("   ZZZ_Monde")</f>
        <v xml:space="preserve">   ZZZ_Monde</v>
      </c>
      <c r="B1159" t="str">
        <f>T("   ZZZ_Monde")</f>
        <v xml:space="preserve">   ZZZ_Monde</v>
      </c>
      <c r="C1159">
        <v>14712320</v>
      </c>
      <c r="D1159">
        <v>17000</v>
      </c>
    </row>
    <row r="1160" spans="1:4" x14ac:dyDescent="0.25">
      <c r="A1160" t="str">
        <f>T("   GH")</f>
        <v xml:space="preserve">   GH</v>
      </c>
      <c r="B1160" t="str">
        <f>T("   Ghana")</f>
        <v xml:space="preserve">   Ghana</v>
      </c>
      <c r="C1160">
        <v>14712320</v>
      </c>
      <c r="D1160">
        <v>17000</v>
      </c>
    </row>
    <row r="1161" spans="1:4" x14ac:dyDescent="0.25">
      <c r="A1161" t="str">
        <f>T("842911")</f>
        <v>842911</v>
      </c>
      <c r="B1161" t="str">
        <f>T("Bouteurs 'bulldozers' et bouteurs biais 'angledozers', à chenilles")</f>
        <v>Bouteurs 'bulldozers' et bouteurs biais 'angledozers', à chenilles</v>
      </c>
    </row>
    <row r="1162" spans="1:4" x14ac:dyDescent="0.25">
      <c r="A1162" t="str">
        <f>T("   ZZZ_Monde")</f>
        <v xml:space="preserve">   ZZZ_Monde</v>
      </c>
      <c r="B1162" t="str">
        <f>T("   ZZZ_Monde")</f>
        <v xml:space="preserve">   ZZZ_Monde</v>
      </c>
      <c r="C1162">
        <v>20830000</v>
      </c>
      <c r="D1162">
        <v>40000</v>
      </c>
    </row>
    <row r="1163" spans="1:4" x14ac:dyDescent="0.25">
      <c r="A1163" t="str">
        <f>T("   NG")</f>
        <v xml:space="preserve">   NG</v>
      </c>
      <c r="B1163" t="str">
        <f>T("   Nigéria")</f>
        <v xml:space="preserve">   Nigéria</v>
      </c>
      <c r="C1163">
        <v>20830000</v>
      </c>
      <c r="D1163">
        <v>40000</v>
      </c>
    </row>
    <row r="1164" spans="1:4" x14ac:dyDescent="0.25">
      <c r="A1164" t="str">
        <f>T("842919")</f>
        <v>842919</v>
      </c>
      <c r="B1164" t="str">
        <f>T("Bouteurs 'bulldozers' et bouteurs biais 'angledozers', sur roues")</f>
        <v>Bouteurs 'bulldozers' et bouteurs biais 'angledozers', sur roues</v>
      </c>
    </row>
    <row r="1165" spans="1:4" x14ac:dyDescent="0.25">
      <c r="A1165" t="str">
        <f>T("   ZZZ_Monde")</f>
        <v xml:space="preserve">   ZZZ_Monde</v>
      </c>
      <c r="B1165" t="str">
        <f>T("   ZZZ_Monde")</f>
        <v xml:space="preserve">   ZZZ_Monde</v>
      </c>
      <c r="C1165">
        <v>4000000</v>
      </c>
      <c r="D1165">
        <v>25816</v>
      </c>
    </row>
    <row r="1166" spans="1:4" x14ac:dyDescent="0.25">
      <c r="A1166" t="str">
        <f>T("   NL")</f>
        <v xml:space="preserve">   NL</v>
      </c>
      <c r="B1166" t="str">
        <f>T("   Pays-bas")</f>
        <v xml:space="preserve">   Pays-bas</v>
      </c>
      <c r="C1166">
        <v>4000000</v>
      </c>
      <c r="D1166">
        <v>25816</v>
      </c>
    </row>
    <row r="1167" spans="1:4" x14ac:dyDescent="0.25">
      <c r="A1167" t="str">
        <f>T("842920")</f>
        <v>842920</v>
      </c>
      <c r="B1167" t="str">
        <f>T("Niveleuses autopropulsées")</f>
        <v>Niveleuses autopropulsées</v>
      </c>
    </row>
    <row r="1168" spans="1:4" x14ac:dyDescent="0.25">
      <c r="A1168" t="str">
        <f>T("   ZZZ_Monde")</f>
        <v xml:space="preserve">   ZZZ_Monde</v>
      </c>
      <c r="B1168" t="str">
        <f>T("   ZZZ_Monde")</f>
        <v xml:space="preserve">   ZZZ_Monde</v>
      </c>
      <c r="C1168">
        <v>275864954</v>
      </c>
      <c r="D1168">
        <v>101104</v>
      </c>
    </row>
    <row r="1169" spans="1:4" x14ac:dyDescent="0.25">
      <c r="A1169" t="str">
        <f>T("   CM")</f>
        <v xml:space="preserve">   CM</v>
      </c>
      <c r="B1169" t="str">
        <f>T("   Cameroun")</f>
        <v xml:space="preserve">   Cameroun</v>
      </c>
      <c r="C1169">
        <v>121216360</v>
      </c>
      <c r="D1169">
        <v>24298</v>
      </c>
    </row>
    <row r="1170" spans="1:4" x14ac:dyDescent="0.25">
      <c r="A1170" t="str">
        <f>T("   GQ")</f>
        <v xml:space="preserve">   GQ</v>
      </c>
      <c r="B1170" t="str">
        <f>T("   Guinée Equatoriale")</f>
        <v xml:space="preserve">   Guinée Equatoriale</v>
      </c>
      <c r="C1170">
        <v>71459297</v>
      </c>
      <c r="D1170">
        <v>16053</v>
      </c>
    </row>
    <row r="1171" spans="1:4" x14ac:dyDescent="0.25">
      <c r="A1171" t="str">
        <f>T("   NG")</f>
        <v xml:space="preserve">   NG</v>
      </c>
      <c r="B1171" t="str">
        <f>T("   Nigéria")</f>
        <v xml:space="preserve">   Nigéria</v>
      </c>
      <c r="C1171">
        <v>3200000</v>
      </c>
      <c r="D1171">
        <v>12000</v>
      </c>
    </row>
    <row r="1172" spans="1:4" x14ac:dyDescent="0.25">
      <c r="A1172" t="str">
        <f>T("   NL")</f>
        <v xml:space="preserve">   NL</v>
      </c>
      <c r="B1172" t="str">
        <f>T("   Pays-bas")</f>
        <v xml:space="preserve">   Pays-bas</v>
      </c>
      <c r="C1172">
        <v>8530000</v>
      </c>
      <c r="D1172">
        <v>32700</v>
      </c>
    </row>
    <row r="1173" spans="1:4" x14ac:dyDescent="0.25">
      <c r="A1173" t="str">
        <f>T("   TG")</f>
        <v xml:space="preserve">   TG</v>
      </c>
      <c r="B1173" t="str">
        <f>T("   Togo")</f>
        <v xml:space="preserve">   Togo</v>
      </c>
      <c r="C1173">
        <v>71459297</v>
      </c>
      <c r="D1173">
        <v>16053</v>
      </c>
    </row>
    <row r="1174" spans="1:4" x14ac:dyDescent="0.25">
      <c r="A1174" t="str">
        <f>T("842940")</f>
        <v>842940</v>
      </c>
      <c r="B1174" t="str">
        <f>T("Rouleaux compresseurs et autres compacteuses, autopropulsés")</f>
        <v>Rouleaux compresseurs et autres compacteuses, autopropulsés</v>
      </c>
    </row>
    <row r="1175" spans="1:4" x14ac:dyDescent="0.25">
      <c r="A1175" t="str">
        <f>T("   ZZZ_Monde")</f>
        <v xml:space="preserve">   ZZZ_Monde</v>
      </c>
      <c r="B1175" t="str">
        <f>T("   ZZZ_Monde")</f>
        <v xml:space="preserve">   ZZZ_Monde</v>
      </c>
      <c r="C1175">
        <v>247287958</v>
      </c>
      <c r="D1175">
        <v>202763</v>
      </c>
    </row>
    <row r="1176" spans="1:4" x14ac:dyDescent="0.25">
      <c r="A1176" t="str">
        <f>T("   BF")</f>
        <v xml:space="preserve">   BF</v>
      </c>
      <c r="B1176" t="str">
        <f>T("   Burkina Faso")</f>
        <v xml:space="preserve">   Burkina Faso</v>
      </c>
      <c r="C1176">
        <v>56467679</v>
      </c>
      <c r="D1176">
        <v>55600</v>
      </c>
    </row>
    <row r="1177" spans="1:4" x14ac:dyDescent="0.25">
      <c r="A1177" t="str">
        <f>T("   CF")</f>
        <v xml:space="preserve">   CF</v>
      </c>
      <c r="B1177" t="str">
        <f>T("   Centrafricaine, République")</f>
        <v xml:space="preserve">   Centrafricaine, République</v>
      </c>
      <c r="C1177">
        <v>122432700</v>
      </c>
      <c r="D1177">
        <v>20177</v>
      </c>
    </row>
    <row r="1178" spans="1:4" x14ac:dyDescent="0.25">
      <c r="A1178" t="str">
        <f>T("   NE")</f>
        <v xml:space="preserve">   NE</v>
      </c>
      <c r="B1178" t="str">
        <f>T("   Niger")</f>
        <v xml:space="preserve">   Niger</v>
      </c>
      <c r="C1178">
        <v>3000000</v>
      </c>
      <c r="D1178">
        <v>10400</v>
      </c>
    </row>
    <row r="1179" spans="1:4" x14ac:dyDescent="0.25">
      <c r="A1179" t="str">
        <f>T("   NG")</f>
        <v xml:space="preserve">   NG</v>
      </c>
      <c r="B1179" t="str">
        <f>T("   Nigéria")</f>
        <v xml:space="preserve">   Nigéria</v>
      </c>
      <c r="C1179">
        <v>11314040</v>
      </c>
      <c r="D1179">
        <v>47439</v>
      </c>
    </row>
    <row r="1180" spans="1:4" x14ac:dyDescent="0.25">
      <c r="A1180" t="str">
        <f>T("   TG")</f>
        <v xml:space="preserve">   TG</v>
      </c>
      <c r="B1180" t="str">
        <f>T("   Togo")</f>
        <v xml:space="preserve">   Togo</v>
      </c>
      <c r="C1180">
        <v>54073539</v>
      </c>
      <c r="D1180">
        <v>69147</v>
      </c>
    </row>
    <row r="1181" spans="1:4" x14ac:dyDescent="0.25">
      <c r="A1181" t="str">
        <f>T("842951")</f>
        <v>842951</v>
      </c>
      <c r="B1181" t="str">
        <f>T("Chargeuses et chargeuses-pelleteuses, à chargement frontal, autopropulsées")</f>
        <v>Chargeuses et chargeuses-pelleteuses, à chargement frontal, autopropulsées</v>
      </c>
    </row>
    <row r="1182" spans="1:4" x14ac:dyDescent="0.25">
      <c r="A1182" t="str">
        <f>T("   ZZZ_Monde")</f>
        <v xml:space="preserve">   ZZZ_Monde</v>
      </c>
      <c r="B1182" t="str">
        <f>T("   ZZZ_Monde")</f>
        <v xml:space="preserve">   ZZZ_Monde</v>
      </c>
      <c r="C1182">
        <v>510314295</v>
      </c>
      <c r="D1182">
        <v>230705</v>
      </c>
    </row>
    <row r="1183" spans="1:4" x14ac:dyDescent="0.25">
      <c r="A1183" t="str">
        <f>T("   BF")</f>
        <v xml:space="preserve">   BF</v>
      </c>
      <c r="B1183" t="str">
        <f>T("   Burkina Faso")</f>
        <v xml:space="preserve">   Burkina Faso</v>
      </c>
      <c r="C1183">
        <v>60621277</v>
      </c>
      <c r="D1183">
        <v>49500</v>
      </c>
    </row>
    <row r="1184" spans="1:4" x14ac:dyDescent="0.25">
      <c r="A1184" t="str">
        <f>T("   MA")</f>
        <v xml:space="preserve">   MA</v>
      </c>
      <c r="B1184" t="str">
        <f>T("   Maroc")</f>
        <v xml:space="preserve">   Maroc</v>
      </c>
      <c r="C1184">
        <v>368231017</v>
      </c>
      <c r="D1184">
        <v>133305</v>
      </c>
    </row>
    <row r="1185" spans="1:4" x14ac:dyDescent="0.25">
      <c r="A1185" t="str">
        <f>T("   NL")</f>
        <v xml:space="preserve">   NL</v>
      </c>
      <c r="B1185" t="str">
        <f>T("   Pays-bas")</f>
        <v xml:space="preserve">   Pays-bas</v>
      </c>
      <c r="C1185">
        <v>4000000</v>
      </c>
      <c r="D1185">
        <v>12400</v>
      </c>
    </row>
    <row r="1186" spans="1:4" x14ac:dyDescent="0.25">
      <c r="A1186" t="str">
        <f>T("   TG")</f>
        <v xml:space="preserve">   TG</v>
      </c>
      <c r="B1186" t="str">
        <f>T("   Togo")</f>
        <v xml:space="preserve">   Togo</v>
      </c>
      <c r="C1186">
        <v>77462001</v>
      </c>
      <c r="D1186">
        <v>35500</v>
      </c>
    </row>
    <row r="1187" spans="1:4" x14ac:dyDescent="0.25">
      <c r="A1187" t="str">
        <f>T("842959")</f>
        <v>842959</v>
      </c>
      <c r="B1187" t="str">
        <f>T("PELLES MÉCANIQUES, EXCAVATEURS, CHARGEUSES ET CHARGEUSES-PELLETEUSES, AUTOPROPULSÉS (SAUF PELLES-MÉCANIQUES DONT LA SUPERSTRUCTURE PEUT EFFECTUER UNE ROTATION DE 360¦ ET SAUF CHARGEUSES À CHARGEMENT FRONTAL)")</f>
        <v>PELLES MÉCANIQUES, EXCAVATEURS, CHARGEUSES ET CHARGEUSES-PELLETEUSES, AUTOPROPULSÉS (SAUF PELLES-MÉCANIQUES DONT LA SUPERSTRUCTURE PEUT EFFECTUER UNE ROTATION DE 360¦ ET SAUF CHARGEUSES À CHARGEMENT FRONTAL)</v>
      </c>
    </row>
    <row r="1188" spans="1:4" x14ac:dyDescent="0.25">
      <c r="A1188" t="str">
        <f>T("   ZZZ_Monde")</f>
        <v xml:space="preserve">   ZZZ_Monde</v>
      </c>
      <c r="B1188" t="str">
        <f>T("   ZZZ_Monde")</f>
        <v xml:space="preserve">   ZZZ_Monde</v>
      </c>
      <c r="C1188">
        <v>633059806</v>
      </c>
      <c r="D1188">
        <v>244196</v>
      </c>
    </row>
    <row r="1189" spans="1:4" x14ac:dyDescent="0.25">
      <c r="A1189" t="str">
        <f>T("   CM")</f>
        <v xml:space="preserve">   CM</v>
      </c>
      <c r="B1189" t="str">
        <f>T("   Cameroun")</f>
        <v xml:space="preserve">   Cameroun</v>
      </c>
      <c r="C1189">
        <v>25000000</v>
      </c>
      <c r="D1189">
        <v>21200</v>
      </c>
    </row>
    <row r="1190" spans="1:4" x14ac:dyDescent="0.25">
      <c r="A1190" t="str">
        <f>T("   GQ")</f>
        <v xml:space="preserve">   GQ</v>
      </c>
      <c r="B1190" t="str">
        <f>T("   Guinée Equatoriale")</f>
        <v xml:space="preserve">   Guinée Equatoriale</v>
      </c>
      <c r="C1190">
        <v>183971632</v>
      </c>
      <c r="D1190">
        <v>63160</v>
      </c>
    </row>
    <row r="1191" spans="1:4" x14ac:dyDescent="0.25">
      <c r="A1191" t="str">
        <f>T("   TD")</f>
        <v xml:space="preserve">   TD</v>
      </c>
      <c r="B1191" t="str">
        <f>T("   Tchad")</f>
        <v xml:space="preserve">   Tchad</v>
      </c>
      <c r="C1191">
        <v>149279452</v>
      </c>
      <c r="D1191">
        <v>50036</v>
      </c>
    </row>
    <row r="1192" spans="1:4" x14ac:dyDescent="0.25">
      <c r="A1192" t="str">
        <f>T("   TG")</f>
        <v xml:space="preserve">   TG</v>
      </c>
      <c r="B1192" t="str">
        <f>T("   Togo")</f>
        <v xml:space="preserve">   Togo</v>
      </c>
      <c r="C1192">
        <v>274808722</v>
      </c>
      <c r="D1192">
        <v>109800</v>
      </c>
    </row>
    <row r="1193" spans="1:4" x14ac:dyDescent="0.25">
      <c r="A1193" t="str">
        <f>T("843041")</f>
        <v>843041</v>
      </c>
      <c r="B1193" t="str">
        <f>T("Machines de sondage ou de forage de la terre, des minéraux ou des minerais, autopropulsées (à l'excl. des machines montées sur wagons pour réseaux ferroviaires ou sur châssis d'automobiles ou sur camions, et sauf machines à creuser les tunnels et autres m")</f>
        <v>Machines de sondage ou de forage de la terre, des minéraux ou des minerais, autopropulsées (à l'excl. des machines montées sur wagons pour réseaux ferroviaires ou sur châssis d'automobiles ou sur camions, et sauf machines à creuser les tunnels et autres m</v>
      </c>
    </row>
    <row r="1194" spans="1:4" x14ac:dyDescent="0.25">
      <c r="A1194" t="str">
        <f>T("   ZZZ_Monde")</f>
        <v xml:space="preserve">   ZZZ_Monde</v>
      </c>
      <c r="B1194" t="str">
        <f>T("   ZZZ_Monde")</f>
        <v xml:space="preserve">   ZZZ_Monde</v>
      </c>
      <c r="C1194">
        <v>38519283</v>
      </c>
      <c r="D1194">
        <v>14800</v>
      </c>
    </row>
    <row r="1195" spans="1:4" x14ac:dyDescent="0.25">
      <c r="A1195" t="str">
        <f>T("   FR")</f>
        <v xml:space="preserve">   FR</v>
      </c>
      <c r="B1195" t="str">
        <f>T("   France")</f>
        <v xml:space="preserve">   France</v>
      </c>
      <c r="C1195">
        <v>38519283</v>
      </c>
      <c r="D1195">
        <v>14800</v>
      </c>
    </row>
    <row r="1196" spans="1:4" x14ac:dyDescent="0.25">
      <c r="A1196" t="str">
        <f>T("843049")</f>
        <v>843049</v>
      </c>
      <c r="B1196" t="str">
        <f>T("Machines de sondage ou de forage de la terre, des minéraux ou des minerais non autopropulsées et non hydrauliques (à l'excl. des machines à creuser les tunnels et autres machines à creuser les galeries, et sauf outillage pour emploi à la main)")</f>
        <v>Machines de sondage ou de forage de la terre, des minéraux ou des minerais non autopropulsées et non hydrauliques (à l'excl. des machines à creuser les tunnels et autres machines à creuser les galeries, et sauf outillage pour emploi à la main)</v>
      </c>
    </row>
    <row r="1197" spans="1:4" x14ac:dyDescent="0.25">
      <c r="A1197" t="str">
        <f>T("   ZZZ_Monde")</f>
        <v xml:space="preserve">   ZZZ_Monde</v>
      </c>
      <c r="B1197" t="str">
        <f>T("   ZZZ_Monde")</f>
        <v xml:space="preserve">   ZZZ_Monde</v>
      </c>
      <c r="C1197">
        <v>1330863480</v>
      </c>
      <c r="D1197">
        <v>228703</v>
      </c>
    </row>
    <row r="1198" spans="1:4" x14ac:dyDescent="0.25">
      <c r="A1198" t="str">
        <f>T("   CN")</f>
        <v xml:space="preserve">   CN</v>
      </c>
      <c r="B1198" t="str">
        <f>T("   Chine")</f>
        <v xml:space="preserve">   Chine</v>
      </c>
      <c r="C1198">
        <v>1394180</v>
      </c>
      <c r="D1198">
        <v>2000</v>
      </c>
    </row>
    <row r="1199" spans="1:4" x14ac:dyDescent="0.25">
      <c r="A1199" t="str">
        <f>T("   FR")</f>
        <v xml:space="preserve">   FR</v>
      </c>
      <c r="B1199" t="str">
        <f>T("   France")</f>
        <v xml:space="preserve">   France</v>
      </c>
      <c r="C1199">
        <v>56814663</v>
      </c>
      <c r="D1199">
        <v>16500</v>
      </c>
    </row>
    <row r="1200" spans="1:4" x14ac:dyDescent="0.25">
      <c r="A1200" t="str">
        <f>T("   GN")</f>
        <v xml:space="preserve">   GN</v>
      </c>
      <c r="B1200" t="str">
        <f>T("   Guinée")</f>
        <v xml:space="preserve">   Guinée</v>
      </c>
      <c r="C1200">
        <v>10296474</v>
      </c>
      <c r="D1200">
        <v>5000</v>
      </c>
    </row>
    <row r="1201" spans="1:4" x14ac:dyDescent="0.25">
      <c r="A1201" t="str">
        <f>T("   NG")</f>
        <v xml:space="preserve">   NG</v>
      </c>
      <c r="B1201" t="str">
        <f>T("   Nigéria")</f>
        <v xml:space="preserve">   Nigéria</v>
      </c>
      <c r="C1201">
        <v>1262358163</v>
      </c>
      <c r="D1201">
        <v>205203</v>
      </c>
    </row>
    <row r="1202" spans="1:4" x14ac:dyDescent="0.25">
      <c r="A1202" t="str">
        <f>T("843120")</f>
        <v>843120</v>
      </c>
      <c r="B1202" t="str">
        <f>T("Parties de chariots-gerbeurs et autres chariots de manutention munis d'un dispositif de levage, n.d.a.")</f>
        <v>Parties de chariots-gerbeurs et autres chariots de manutention munis d'un dispositif de levage, n.d.a.</v>
      </c>
    </row>
    <row r="1203" spans="1:4" x14ac:dyDescent="0.25">
      <c r="A1203" t="str">
        <f>T("   ZZZ_Monde")</f>
        <v xml:space="preserve">   ZZZ_Monde</v>
      </c>
      <c r="B1203" t="str">
        <f>T("   ZZZ_Monde")</f>
        <v xml:space="preserve">   ZZZ_Monde</v>
      </c>
      <c r="C1203">
        <v>1359340</v>
      </c>
      <c r="D1203">
        <v>4450</v>
      </c>
    </row>
    <row r="1204" spans="1:4" x14ac:dyDescent="0.25">
      <c r="A1204" t="str">
        <f>T("   FR")</f>
        <v xml:space="preserve">   FR</v>
      </c>
      <c r="B1204" t="str">
        <f>T("   France")</f>
        <v xml:space="preserve">   France</v>
      </c>
      <c r="C1204">
        <v>655960</v>
      </c>
      <c r="D1204">
        <v>950</v>
      </c>
    </row>
    <row r="1205" spans="1:4" x14ac:dyDescent="0.25">
      <c r="A1205" t="str">
        <f>T("   GH")</f>
        <v xml:space="preserve">   GH</v>
      </c>
      <c r="B1205" t="str">
        <f>T("   Ghana")</f>
        <v xml:space="preserve">   Ghana</v>
      </c>
      <c r="C1205">
        <v>224030</v>
      </c>
      <c r="D1205">
        <v>2000</v>
      </c>
    </row>
    <row r="1206" spans="1:4" x14ac:dyDescent="0.25">
      <c r="A1206" t="str">
        <f>T("   NG")</f>
        <v xml:space="preserve">   NG</v>
      </c>
      <c r="B1206" t="str">
        <f>T("   Nigéria")</f>
        <v xml:space="preserve">   Nigéria</v>
      </c>
      <c r="C1206">
        <v>479350</v>
      </c>
      <c r="D1206">
        <v>1500</v>
      </c>
    </row>
    <row r="1207" spans="1:4" x14ac:dyDescent="0.25">
      <c r="A1207" t="str">
        <f>T("843141")</f>
        <v>843141</v>
      </c>
      <c r="B1207" t="str">
        <f>T("Godets, bennes, bennes-preneuses, pelles, grappins et pinces pour machines et appareils du n° 8426, 8429 ou 8430")</f>
        <v>Godets, bennes, bennes-preneuses, pelles, grappins et pinces pour machines et appareils du n° 8426, 8429 ou 8430</v>
      </c>
    </row>
    <row r="1208" spans="1:4" x14ac:dyDescent="0.25">
      <c r="A1208" t="str">
        <f>T("   ZZZ_Monde")</f>
        <v xml:space="preserve">   ZZZ_Monde</v>
      </c>
      <c r="B1208" t="str">
        <f>T("   ZZZ_Monde")</f>
        <v xml:space="preserve">   ZZZ_Monde</v>
      </c>
      <c r="C1208">
        <v>31631238</v>
      </c>
      <c r="D1208">
        <v>7379</v>
      </c>
    </row>
    <row r="1209" spans="1:4" x14ac:dyDescent="0.25">
      <c r="A1209" t="str">
        <f>T("   BF")</f>
        <v xml:space="preserve">   BF</v>
      </c>
      <c r="B1209" t="str">
        <f>T("   Burkina Faso")</f>
        <v xml:space="preserve">   Burkina Faso</v>
      </c>
      <c r="C1209">
        <v>1550000</v>
      </c>
      <c r="D1209">
        <v>620</v>
      </c>
    </row>
    <row r="1210" spans="1:4" x14ac:dyDescent="0.25">
      <c r="A1210" t="str">
        <f>T("   TG")</f>
        <v xml:space="preserve">   TG</v>
      </c>
      <c r="B1210" t="str">
        <f>T("   Togo")</f>
        <v xml:space="preserve">   Togo</v>
      </c>
      <c r="C1210">
        <v>30081238</v>
      </c>
      <c r="D1210">
        <v>6759</v>
      </c>
    </row>
    <row r="1211" spans="1:4" x14ac:dyDescent="0.25">
      <c r="A1211" t="str">
        <f>T("843143")</f>
        <v>843143</v>
      </c>
      <c r="B1211" t="str">
        <f>T("Parties de machines de sondage ou de forage du n° 8430.41 ou 8430.49, n.d.a.")</f>
        <v>Parties de machines de sondage ou de forage du n° 8430.41 ou 8430.49, n.d.a.</v>
      </c>
    </row>
    <row r="1212" spans="1:4" x14ac:dyDescent="0.25">
      <c r="A1212" t="str">
        <f>T("   ZZZ_Monde")</f>
        <v xml:space="preserve">   ZZZ_Monde</v>
      </c>
      <c r="B1212" t="str">
        <f>T("   ZZZ_Monde")</f>
        <v xml:space="preserve">   ZZZ_Monde</v>
      </c>
      <c r="C1212">
        <v>797090</v>
      </c>
      <c r="D1212">
        <v>2070</v>
      </c>
    </row>
    <row r="1213" spans="1:4" x14ac:dyDescent="0.25">
      <c r="A1213" t="str">
        <f>T("   CN")</f>
        <v xml:space="preserve">   CN</v>
      </c>
      <c r="B1213" t="str">
        <f>T("   Chine")</f>
        <v xml:space="preserve">   Chine</v>
      </c>
      <c r="C1213">
        <v>722090</v>
      </c>
      <c r="D1213">
        <v>2000</v>
      </c>
    </row>
    <row r="1214" spans="1:4" x14ac:dyDescent="0.25">
      <c r="A1214" t="str">
        <f>T("   TG")</f>
        <v xml:space="preserve">   TG</v>
      </c>
      <c r="B1214" t="str">
        <f>T("   Togo")</f>
        <v xml:space="preserve">   Togo</v>
      </c>
      <c r="C1214">
        <v>75000</v>
      </c>
      <c r="D1214">
        <v>70</v>
      </c>
    </row>
    <row r="1215" spans="1:4" x14ac:dyDescent="0.25">
      <c r="A1215" t="str">
        <f>T("843149")</f>
        <v>843149</v>
      </c>
      <c r="B1215" t="str">
        <f>T("Parties de machines et appareils du n° 8426, 8429 ou 8430, n.d.a.")</f>
        <v>Parties de machines et appareils du n° 8426, 8429 ou 8430, n.d.a.</v>
      </c>
    </row>
    <row r="1216" spans="1:4" x14ac:dyDescent="0.25">
      <c r="A1216" t="str">
        <f>T("   ZZZ_Monde")</f>
        <v xml:space="preserve">   ZZZ_Monde</v>
      </c>
      <c r="B1216" t="str">
        <f>T("   ZZZ_Monde")</f>
        <v xml:space="preserve">   ZZZ_Monde</v>
      </c>
      <c r="C1216">
        <v>27419117</v>
      </c>
      <c r="D1216">
        <v>52923</v>
      </c>
    </row>
    <row r="1217" spans="1:4" x14ac:dyDescent="0.25">
      <c r="A1217" t="str">
        <f>T("   FR")</f>
        <v xml:space="preserve">   FR</v>
      </c>
      <c r="B1217" t="str">
        <f>T("   France")</f>
        <v xml:space="preserve">   France</v>
      </c>
      <c r="C1217">
        <v>450000</v>
      </c>
      <c r="D1217">
        <v>1300</v>
      </c>
    </row>
    <row r="1218" spans="1:4" x14ac:dyDescent="0.25">
      <c r="A1218" t="str">
        <f>T("   SN")</f>
        <v xml:space="preserve">   SN</v>
      </c>
      <c r="B1218" t="str">
        <f>T("   Sénégal")</f>
        <v xml:space="preserve">   Sénégal</v>
      </c>
      <c r="C1218">
        <v>24969117</v>
      </c>
      <c r="D1218">
        <v>8373</v>
      </c>
    </row>
    <row r="1219" spans="1:4" x14ac:dyDescent="0.25">
      <c r="A1219" t="str">
        <f>T("   TG")</f>
        <v xml:space="preserve">   TG</v>
      </c>
      <c r="B1219" t="str">
        <f>T("   Togo")</f>
        <v xml:space="preserve">   Togo</v>
      </c>
      <c r="C1219">
        <v>2000000</v>
      </c>
      <c r="D1219">
        <v>43250</v>
      </c>
    </row>
    <row r="1220" spans="1:4" x14ac:dyDescent="0.25">
      <c r="A1220" t="str">
        <f>T("843352")</f>
        <v>843352</v>
      </c>
      <c r="B1220" t="str">
        <f>T("Machines et appareils pour le battage des produits agricoles (sauf moissonneuses-batteuses)")</f>
        <v>Machines et appareils pour le battage des produits agricoles (sauf moissonneuses-batteuses)</v>
      </c>
    </row>
    <row r="1221" spans="1:4" x14ac:dyDescent="0.25">
      <c r="A1221" t="str">
        <f>T("   ZZZ_Monde")</f>
        <v xml:space="preserve">   ZZZ_Monde</v>
      </c>
      <c r="B1221" t="str">
        <f>T("   ZZZ_Monde")</f>
        <v xml:space="preserve">   ZZZ_Monde</v>
      </c>
      <c r="C1221">
        <v>7103280</v>
      </c>
      <c r="D1221">
        <v>3050</v>
      </c>
    </row>
    <row r="1222" spans="1:4" x14ac:dyDescent="0.25">
      <c r="A1222" t="str">
        <f>T("   NG")</f>
        <v xml:space="preserve">   NG</v>
      </c>
      <c r="B1222" t="str">
        <f>T("   Nigéria")</f>
        <v xml:space="preserve">   Nigéria</v>
      </c>
      <c r="C1222">
        <v>7103280</v>
      </c>
      <c r="D1222">
        <v>3050</v>
      </c>
    </row>
    <row r="1223" spans="1:4" x14ac:dyDescent="0.25">
      <c r="A1223" t="str">
        <f>T("845011")</f>
        <v>845011</v>
      </c>
      <c r="B1223" t="str">
        <f>T("Machines à laver le linge entièrement automatiques, d'une capacité unitaire exprimée en poids de linge sec &lt;= 6 kg")</f>
        <v>Machines à laver le linge entièrement automatiques, d'une capacité unitaire exprimée en poids de linge sec &lt;= 6 kg</v>
      </c>
    </row>
    <row r="1224" spans="1:4" x14ac:dyDescent="0.25">
      <c r="A1224" t="str">
        <f>T("   ZZZ_Monde")</f>
        <v xml:space="preserve">   ZZZ_Monde</v>
      </c>
      <c r="B1224" t="str">
        <f>T("   ZZZ_Monde")</f>
        <v xml:space="preserve">   ZZZ_Monde</v>
      </c>
      <c r="C1224">
        <v>3479379</v>
      </c>
      <c r="D1224">
        <v>774</v>
      </c>
    </row>
    <row r="1225" spans="1:4" x14ac:dyDescent="0.25">
      <c r="A1225" t="str">
        <f>T("   TG")</f>
        <v xml:space="preserve">   TG</v>
      </c>
      <c r="B1225" t="str">
        <f>T("   Togo")</f>
        <v xml:space="preserve">   Togo</v>
      </c>
      <c r="C1225">
        <v>3479379</v>
      </c>
      <c r="D1225">
        <v>774</v>
      </c>
    </row>
    <row r="1226" spans="1:4" x14ac:dyDescent="0.25">
      <c r="A1226" t="str">
        <f>T("845019")</f>
        <v>845019</v>
      </c>
      <c r="B1226" t="str">
        <f>T("Machines à laver le linge d'une capacité unitaire exprimée en poids de linge sec &lt;= 6 kg (à l'excl. des machines entièrement automatiques et des machines à laver le linge avec essoreuse centrifuge incorporée)")</f>
        <v>Machines à laver le linge d'une capacité unitaire exprimée en poids de linge sec &lt;= 6 kg (à l'excl. des machines entièrement automatiques et des machines à laver le linge avec essoreuse centrifuge incorporée)</v>
      </c>
    </row>
    <row r="1227" spans="1:4" x14ac:dyDescent="0.25">
      <c r="A1227" t="str">
        <f>T("   ZZZ_Monde")</f>
        <v xml:space="preserve">   ZZZ_Monde</v>
      </c>
      <c r="B1227" t="str">
        <f>T("   ZZZ_Monde")</f>
        <v xml:space="preserve">   ZZZ_Monde</v>
      </c>
      <c r="C1227">
        <v>1200000</v>
      </c>
      <c r="D1227">
        <v>304</v>
      </c>
    </row>
    <row r="1228" spans="1:4" x14ac:dyDescent="0.25">
      <c r="A1228" t="str">
        <f>T("   TG")</f>
        <v xml:space="preserve">   TG</v>
      </c>
      <c r="B1228" t="str">
        <f>T("   Togo")</f>
        <v xml:space="preserve">   Togo</v>
      </c>
      <c r="C1228">
        <v>1200000</v>
      </c>
      <c r="D1228">
        <v>304</v>
      </c>
    </row>
    <row r="1229" spans="1:4" x14ac:dyDescent="0.25">
      <c r="A1229" t="str">
        <f>T("845020")</f>
        <v>845020</v>
      </c>
      <c r="B1229" t="str">
        <f>T("Machines à laver le linge, capacité unitaire en poids de linge sec &gt; 10 kg")</f>
        <v>Machines à laver le linge, capacité unitaire en poids de linge sec &gt; 10 kg</v>
      </c>
    </row>
    <row r="1230" spans="1:4" x14ac:dyDescent="0.25">
      <c r="A1230" t="str">
        <f>T("   ZZZ_Monde")</f>
        <v xml:space="preserve">   ZZZ_Monde</v>
      </c>
      <c r="B1230" t="str">
        <f>T("   ZZZ_Monde")</f>
        <v xml:space="preserve">   ZZZ_Monde</v>
      </c>
      <c r="C1230">
        <v>335545</v>
      </c>
      <c r="D1230">
        <v>800</v>
      </c>
    </row>
    <row r="1231" spans="1:4" x14ac:dyDescent="0.25">
      <c r="A1231" t="str">
        <f>T("   NG")</f>
        <v xml:space="preserve">   NG</v>
      </c>
      <c r="B1231" t="str">
        <f>T("   Nigéria")</f>
        <v xml:space="preserve">   Nigéria</v>
      </c>
      <c r="C1231">
        <v>335545</v>
      </c>
      <c r="D1231">
        <v>800</v>
      </c>
    </row>
    <row r="1232" spans="1:4" x14ac:dyDescent="0.25">
      <c r="A1232" t="str">
        <f>T("845121")</f>
        <v>845121</v>
      </c>
      <c r="B1232" t="str">
        <f>T("Machines à sécher, capacité unitaire en poids de linge sec &lt;= 10 kg (à l'excl. des essoreuses centrifuges)")</f>
        <v>Machines à sécher, capacité unitaire en poids de linge sec &lt;= 10 kg (à l'excl. des essoreuses centrifuges)</v>
      </c>
    </row>
    <row r="1233" spans="1:4" x14ac:dyDescent="0.25">
      <c r="A1233" t="str">
        <f>T("   ZZZ_Monde")</f>
        <v xml:space="preserve">   ZZZ_Monde</v>
      </c>
      <c r="B1233" t="str">
        <f>T("   ZZZ_Monde")</f>
        <v xml:space="preserve">   ZZZ_Monde</v>
      </c>
      <c r="C1233">
        <v>226392</v>
      </c>
      <c r="D1233">
        <v>75</v>
      </c>
    </row>
    <row r="1234" spans="1:4" x14ac:dyDescent="0.25">
      <c r="A1234" t="str">
        <f>T("   TG")</f>
        <v xml:space="preserve">   TG</v>
      </c>
      <c r="B1234" t="str">
        <f>T("   Togo")</f>
        <v xml:space="preserve">   Togo</v>
      </c>
      <c r="C1234">
        <v>226392</v>
      </c>
      <c r="D1234">
        <v>75</v>
      </c>
    </row>
    <row r="1235" spans="1:4" x14ac:dyDescent="0.25">
      <c r="A1235" t="str">
        <f>T("846190")</f>
        <v>846190</v>
      </c>
      <c r="B1235" t="str">
        <f>T("Machines à raboter et autres machines-outils travaillant par enlèvement de métal, n.d.a.")</f>
        <v>Machines à raboter et autres machines-outils travaillant par enlèvement de métal, n.d.a.</v>
      </c>
    </row>
    <row r="1236" spans="1:4" x14ac:dyDescent="0.25">
      <c r="A1236" t="str">
        <f>T("   ZZZ_Monde")</f>
        <v xml:space="preserve">   ZZZ_Monde</v>
      </c>
      <c r="B1236" t="str">
        <f>T("   ZZZ_Monde")</f>
        <v xml:space="preserve">   ZZZ_Monde</v>
      </c>
      <c r="C1236">
        <v>5000000</v>
      </c>
      <c r="D1236">
        <v>10480</v>
      </c>
    </row>
    <row r="1237" spans="1:4" x14ac:dyDescent="0.25">
      <c r="A1237" t="str">
        <f>T("   GN")</f>
        <v xml:space="preserve">   GN</v>
      </c>
      <c r="B1237" t="str">
        <f>T("   Guinée")</f>
        <v xml:space="preserve">   Guinée</v>
      </c>
      <c r="C1237">
        <v>5000000</v>
      </c>
      <c r="D1237">
        <v>10480</v>
      </c>
    </row>
    <row r="1238" spans="1:4" x14ac:dyDescent="0.25">
      <c r="A1238" t="str">
        <f>T("846239")</f>
        <v>846239</v>
      </c>
      <c r="B1238" t="str">
        <f>T("Machines, y.c. -les presses-, à cisailler, pour le travail des métaux (autres que les machines combinées à poinçonner et à cisailler et autres qu'à commande numérique)")</f>
        <v>Machines, y.c. -les presses-, à cisailler, pour le travail des métaux (autres que les machines combinées à poinçonner et à cisailler et autres qu'à commande numérique)</v>
      </c>
    </row>
    <row r="1239" spans="1:4" x14ac:dyDescent="0.25">
      <c r="A1239" t="str">
        <f>T("   ZZZ_Monde")</f>
        <v xml:space="preserve">   ZZZ_Monde</v>
      </c>
      <c r="B1239" t="str">
        <f>T("   ZZZ_Monde")</f>
        <v xml:space="preserve">   ZZZ_Monde</v>
      </c>
      <c r="C1239">
        <v>25616944</v>
      </c>
      <c r="D1239">
        <v>18850</v>
      </c>
    </row>
    <row r="1240" spans="1:4" x14ac:dyDescent="0.25">
      <c r="A1240" t="str">
        <f>T("   GH")</f>
        <v xml:space="preserve">   GH</v>
      </c>
      <c r="B1240" t="str">
        <f>T("   Ghana")</f>
        <v xml:space="preserve">   Ghana</v>
      </c>
      <c r="C1240">
        <v>13516944</v>
      </c>
      <c r="D1240">
        <v>17500</v>
      </c>
    </row>
    <row r="1241" spans="1:4" x14ac:dyDescent="0.25">
      <c r="A1241" t="str">
        <f>T("   TG")</f>
        <v xml:space="preserve">   TG</v>
      </c>
      <c r="B1241" t="str">
        <f>T("   Togo")</f>
        <v xml:space="preserve">   Togo</v>
      </c>
      <c r="C1241">
        <v>12100000</v>
      </c>
      <c r="D1241">
        <v>1350</v>
      </c>
    </row>
    <row r="1242" spans="1:4" x14ac:dyDescent="0.25">
      <c r="A1242" t="str">
        <f>T("846594")</f>
        <v>846594</v>
      </c>
      <c r="B1242" t="str">
        <f>T("Machines à cintrer ou à assembler, pour le travail du bois, des matières plastiques dures, etc. (autres que machines pour emploi à la main)")</f>
        <v>Machines à cintrer ou à assembler, pour le travail du bois, des matières plastiques dures, etc. (autres que machines pour emploi à la main)</v>
      </c>
    </row>
    <row r="1243" spans="1:4" x14ac:dyDescent="0.25">
      <c r="A1243" t="str">
        <f>T("   ZZZ_Monde")</f>
        <v xml:space="preserve">   ZZZ_Monde</v>
      </c>
      <c r="B1243" t="str">
        <f>T("   ZZZ_Monde")</f>
        <v xml:space="preserve">   ZZZ_Monde</v>
      </c>
      <c r="C1243">
        <v>14348000</v>
      </c>
      <c r="D1243">
        <v>1315</v>
      </c>
    </row>
    <row r="1244" spans="1:4" x14ac:dyDescent="0.25">
      <c r="A1244" t="str">
        <f>T("   TG")</f>
        <v xml:space="preserve">   TG</v>
      </c>
      <c r="B1244" t="str">
        <f>T("   Togo")</f>
        <v xml:space="preserve">   Togo</v>
      </c>
      <c r="C1244">
        <v>14348000</v>
      </c>
      <c r="D1244">
        <v>1315</v>
      </c>
    </row>
    <row r="1245" spans="1:4" x14ac:dyDescent="0.25">
      <c r="A1245" t="str">
        <f>T("846729")</f>
        <v>846729</v>
      </c>
      <c r="B1245" t="str">
        <f>T("Outils électromécaniques à moteur électrique incorporé, pour emploi à la main (autres que scies et perceuses)")</f>
        <v>Outils électromécaniques à moteur électrique incorporé, pour emploi à la main (autres que scies et perceuses)</v>
      </c>
    </row>
    <row r="1246" spans="1:4" x14ac:dyDescent="0.25">
      <c r="A1246" t="str">
        <f>T("   ZZZ_Monde")</f>
        <v xml:space="preserve">   ZZZ_Monde</v>
      </c>
      <c r="B1246" t="str">
        <f>T("   ZZZ_Monde")</f>
        <v xml:space="preserve">   ZZZ_Monde</v>
      </c>
      <c r="C1246">
        <v>4378246</v>
      </c>
      <c r="D1246">
        <v>1350</v>
      </c>
    </row>
    <row r="1247" spans="1:4" x14ac:dyDescent="0.25">
      <c r="A1247" t="str">
        <f>T("   BF")</f>
        <v xml:space="preserve">   BF</v>
      </c>
      <c r="B1247" t="str">
        <f>T("   Burkina Faso")</f>
        <v xml:space="preserve">   Burkina Faso</v>
      </c>
      <c r="C1247">
        <v>750000</v>
      </c>
      <c r="D1247">
        <v>400</v>
      </c>
    </row>
    <row r="1248" spans="1:4" x14ac:dyDescent="0.25">
      <c r="A1248" t="str">
        <f>T("   TG")</f>
        <v xml:space="preserve">   TG</v>
      </c>
      <c r="B1248" t="str">
        <f>T("   Togo")</f>
        <v xml:space="preserve">   Togo</v>
      </c>
      <c r="C1248">
        <v>3628246</v>
      </c>
      <c r="D1248">
        <v>950</v>
      </c>
    </row>
    <row r="1249" spans="1:4" x14ac:dyDescent="0.25">
      <c r="A1249" t="str">
        <f>T("846781")</f>
        <v>846781</v>
      </c>
      <c r="B1249" t="str">
        <f>T("Tronçonneuses à chaîne pour emploi à la main, à moteur non électrique incorporé")</f>
        <v>Tronçonneuses à chaîne pour emploi à la main, à moteur non électrique incorporé</v>
      </c>
    </row>
    <row r="1250" spans="1:4" x14ac:dyDescent="0.25">
      <c r="A1250" t="str">
        <f>T("   ZZZ_Monde")</f>
        <v xml:space="preserve">   ZZZ_Monde</v>
      </c>
      <c r="B1250" t="str">
        <f>T("   ZZZ_Monde")</f>
        <v xml:space="preserve">   ZZZ_Monde</v>
      </c>
      <c r="C1250">
        <v>313234</v>
      </c>
      <c r="D1250">
        <v>30</v>
      </c>
    </row>
    <row r="1251" spans="1:4" x14ac:dyDescent="0.25">
      <c r="A1251" t="str">
        <f>T("   BF")</f>
        <v xml:space="preserve">   BF</v>
      </c>
      <c r="B1251" t="str">
        <f>T("   Burkina Faso")</f>
        <v xml:space="preserve">   Burkina Faso</v>
      </c>
      <c r="C1251">
        <v>313234</v>
      </c>
      <c r="D1251">
        <v>30</v>
      </c>
    </row>
    <row r="1252" spans="1:4" x14ac:dyDescent="0.25">
      <c r="A1252" t="str">
        <f>T("847110")</f>
        <v>847110</v>
      </c>
      <c r="B1252" t="str">
        <f>T("Machines automatiques de traitement de l'information, analogiques ou hybrides")</f>
        <v>Machines automatiques de traitement de l'information, analogiques ou hybrides</v>
      </c>
    </row>
    <row r="1253" spans="1:4" x14ac:dyDescent="0.25">
      <c r="A1253" t="str">
        <f>T("   ZZZ_Monde")</f>
        <v xml:space="preserve">   ZZZ_Monde</v>
      </c>
      <c r="B1253" t="str">
        <f>T("   ZZZ_Monde")</f>
        <v xml:space="preserve">   ZZZ_Monde</v>
      </c>
      <c r="C1253">
        <v>150000</v>
      </c>
      <c r="D1253">
        <v>225</v>
      </c>
    </row>
    <row r="1254" spans="1:4" x14ac:dyDescent="0.25">
      <c r="A1254" t="str">
        <f>T("   CM")</f>
        <v xml:space="preserve">   CM</v>
      </c>
      <c r="B1254" t="str">
        <f>T("   Cameroun")</f>
        <v xml:space="preserve">   Cameroun</v>
      </c>
      <c r="C1254">
        <v>150000</v>
      </c>
      <c r="D1254">
        <v>225</v>
      </c>
    </row>
    <row r="1255" spans="1:4" x14ac:dyDescent="0.25">
      <c r="A1255" t="str">
        <f>T("847141")</f>
        <v>847141</v>
      </c>
      <c r="B1255" t="str">
        <f>T("Machines automatiques de traitement de l'information numériques, comportant, sous une même enveloppe, au moins une unité centrale de traitement et, qu'elles soient ou non combinées, une unité d'entrée et une unité de sortie (sauf portatives d'un poids &lt;=")</f>
        <v>Machines automatiques de traitement de l'information numériques, comportant, sous une même enveloppe, au moins une unité centrale de traitement et, qu'elles soient ou non combinées, une unité d'entrée et une unité de sortie (sauf portatives d'un poids &lt;=</v>
      </c>
    </row>
    <row r="1256" spans="1:4" x14ac:dyDescent="0.25">
      <c r="A1256" t="str">
        <f>T("   ZZZ_Monde")</f>
        <v xml:space="preserve">   ZZZ_Monde</v>
      </c>
      <c r="B1256" t="str">
        <f>T("   ZZZ_Monde")</f>
        <v xml:space="preserve">   ZZZ_Monde</v>
      </c>
      <c r="C1256">
        <v>239675</v>
      </c>
      <c r="D1256">
        <v>350</v>
      </c>
    </row>
    <row r="1257" spans="1:4" x14ac:dyDescent="0.25">
      <c r="A1257" t="str">
        <f>T("   NG")</f>
        <v xml:space="preserve">   NG</v>
      </c>
      <c r="B1257" t="str">
        <f>T("   Nigéria")</f>
        <v xml:space="preserve">   Nigéria</v>
      </c>
      <c r="C1257">
        <v>239675</v>
      </c>
      <c r="D1257">
        <v>350</v>
      </c>
    </row>
    <row r="1258" spans="1:4" x14ac:dyDescent="0.25">
      <c r="A1258" t="str">
        <f>T("847180")</f>
        <v>847180</v>
      </c>
      <c r="B1258" t="str">
        <f>T("Unités de machines automatiques de traitement de l'information, numériques (à l'excl. des unités de traitement, unités d'entrée ou de sortie et unités de mémoire)")</f>
        <v>Unités de machines automatiques de traitement de l'information, numériques (à l'excl. des unités de traitement, unités d'entrée ou de sortie et unités de mémoire)</v>
      </c>
    </row>
    <row r="1259" spans="1:4" x14ac:dyDescent="0.25">
      <c r="A1259" t="str">
        <f>T("   ZZZ_Monde")</f>
        <v xml:space="preserve">   ZZZ_Monde</v>
      </c>
      <c r="B1259" t="str">
        <f>T("   ZZZ_Monde")</f>
        <v xml:space="preserve">   ZZZ_Monde</v>
      </c>
      <c r="C1259">
        <v>688102</v>
      </c>
      <c r="D1259">
        <v>13</v>
      </c>
    </row>
    <row r="1260" spans="1:4" x14ac:dyDescent="0.25">
      <c r="A1260" t="str">
        <f>T("   NL")</f>
        <v xml:space="preserve">   NL</v>
      </c>
      <c r="B1260" t="str">
        <f>T("   Pays-bas")</f>
        <v xml:space="preserve">   Pays-bas</v>
      </c>
      <c r="C1260">
        <v>688102</v>
      </c>
      <c r="D1260">
        <v>13</v>
      </c>
    </row>
    <row r="1261" spans="1:4" x14ac:dyDescent="0.25">
      <c r="A1261" t="str">
        <f>T("847190")</f>
        <v>847190</v>
      </c>
      <c r="B1261" t="str">
        <f>T("Lecteurs magnétiques ou optiques, machines de mise d'informations sur support sous forme codée et machines de traitement de ces informations, n.d.a.")</f>
        <v>Lecteurs magnétiques ou optiques, machines de mise d'informations sur support sous forme codée et machines de traitement de ces informations, n.d.a.</v>
      </c>
    </row>
    <row r="1262" spans="1:4" x14ac:dyDescent="0.25">
      <c r="A1262" t="str">
        <f>T("   ZZZ_Monde")</f>
        <v xml:space="preserve">   ZZZ_Monde</v>
      </c>
      <c r="B1262" t="str">
        <f>T("   ZZZ_Monde")</f>
        <v xml:space="preserve">   ZZZ_Monde</v>
      </c>
      <c r="C1262">
        <v>8806500</v>
      </c>
      <c r="D1262">
        <v>6130</v>
      </c>
    </row>
    <row r="1263" spans="1:4" x14ac:dyDescent="0.25">
      <c r="A1263" t="str">
        <f>T("   CI")</f>
        <v xml:space="preserve">   CI</v>
      </c>
      <c r="B1263" t="str">
        <f>T("   Côte d'Ivoire")</f>
        <v xml:space="preserve">   Côte d'Ivoire</v>
      </c>
      <c r="C1263">
        <v>8001500</v>
      </c>
      <c r="D1263">
        <v>1790</v>
      </c>
    </row>
    <row r="1264" spans="1:4" x14ac:dyDescent="0.25">
      <c r="A1264" t="str">
        <f>T("   TG")</f>
        <v xml:space="preserve">   TG</v>
      </c>
      <c r="B1264" t="str">
        <f>T("   Togo")</f>
        <v xml:space="preserve">   Togo</v>
      </c>
      <c r="C1264">
        <v>805000</v>
      </c>
      <c r="D1264">
        <v>4340</v>
      </c>
    </row>
    <row r="1265" spans="1:4" x14ac:dyDescent="0.25">
      <c r="A1265" t="str">
        <f>T("847410")</f>
        <v>847410</v>
      </c>
      <c r="B1265" t="str">
        <f>T("Machines et appareils à trier, cribler, séparer ou laver les matières minérales solides, y.c. -les poudres et les pâtes- (à l'excl. des centrifugeuses et des filtres-presses)")</f>
        <v>Machines et appareils à trier, cribler, séparer ou laver les matières minérales solides, y.c. -les poudres et les pâtes- (à l'excl. des centrifugeuses et des filtres-presses)</v>
      </c>
    </row>
    <row r="1266" spans="1:4" x14ac:dyDescent="0.25">
      <c r="A1266" t="str">
        <f>T("   ZZZ_Monde")</f>
        <v xml:space="preserve">   ZZZ_Monde</v>
      </c>
      <c r="B1266" t="str">
        <f>T("   ZZZ_Monde")</f>
        <v xml:space="preserve">   ZZZ_Monde</v>
      </c>
      <c r="C1266">
        <v>2000000</v>
      </c>
      <c r="D1266">
        <v>6400</v>
      </c>
    </row>
    <row r="1267" spans="1:4" x14ac:dyDescent="0.25">
      <c r="A1267" t="str">
        <f>T("   GQ")</f>
        <v xml:space="preserve">   GQ</v>
      </c>
      <c r="B1267" t="str">
        <f>T("   Guinée Equatoriale")</f>
        <v xml:space="preserve">   Guinée Equatoriale</v>
      </c>
      <c r="C1267">
        <v>2000000</v>
      </c>
      <c r="D1267">
        <v>6400</v>
      </c>
    </row>
    <row r="1268" spans="1:4" x14ac:dyDescent="0.25">
      <c r="A1268" t="str">
        <f>T("847431")</f>
        <v>847431</v>
      </c>
      <c r="B1268" t="str">
        <f>T("Bétonnières et appareils à gâcher le ciment (sauf montés sur wagons de chemins de fer ou sur châssis de véhicules automobiles)")</f>
        <v>Bétonnières et appareils à gâcher le ciment (sauf montés sur wagons de chemins de fer ou sur châssis de véhicules automobiles)</v>
      </c>
    </row>
    <row r="1269" spans="1:4" x14ac:dyDescent="0.25">
      <c r="A1269" t="str">
        <f>T("   ZZZ_Monde")</f>
        <v xml:space="preserve">   ZZZ_Monde</v>
      </c>
      <c r="B1269" t="str">
        <f>T("   ZZZ_Monde")</f>
        <v xml:space="preserve">   ZZZ_Monde</v>
      </c>
      <c r="C1269">
        <v>32312267</v>
      </c>
      <c r="D1269">
        <v>18799</v>
      </c>
    </row>
    <row r="1270" spans="1:4" x14ac:dyDescent="0.25">
      <c r="A1270" t="str">
        <f>T("   BF")</f>
        <v xml:space="preserve">   BF</v>
      </c>
      <c r="B1270" t="str">
        <f>T("   Burkina Faso")</f>
        <v xml:space="preserve">   Burkina Faso</v>
      </c>
      <c r="C1270">
        <v>240000</v>
      </c>
      <c r="D1270">
        <v>600</v>
      </c>
    </row>
    <row r="1271" spans="1:4" x14ac:dyDescent="0.25">
      <c r="A1271" t="str">
        <f>T("   TD")</f>
        <v xml:space="preserve">   TD</v>
      </c>
      <c r="B1271" t="str">
        <f>T("   Tchad")</f>
        <v xml:space="preserve">   Tchad</v>
      </c>
      <c r="C1271">
        <v>9400000</v>
      </c>
      <c r="D1271">
        <v>9000</v>
      </c>
    </row>
    <row r="1272" spans="1:4" x14ac:dyDescent="0.25">
      <c r="A1272" t="str">
        <f>T("   TG")</f>
        <v xml:space="preserve">   TG</v>
      </c>
      <c r="B1272" t="str">
        <f>T("   Togo")</f>
        <v xml:space="preserve">   Togo</v>
      </c>
      <c r="C1272">
        <v>22672267</v>
      </c>
      <c r="D1272">
        <v>9199</v>
      </c>
    </row>
    <row r="1273" spans="1:4" x14ac:dyDescent="0.25">
      <c r="A1273" t="str">
        <f>T("847910")</f>
        <v>847910</v>
      </c>
      <c r="B1273" t="str">
        <f>T("Machines et appareils pour les travaux publics, le bâtiment ou les travaux analogues, n.d.a.")</f>
        <v>Machines et appareils pour les travaux publics, le bâtiment ou les travaux analogues, n.d.a.</v>
      </c>
    </row>
    <row r="1274" spans="1:4" x14ac:dyDescent="0.25">
      <c r="A1274" t="str">
        <f>T("   ZZZ_Monde")</f>
        <v xml:space="preserve">   ZZZ_Monde</v>
      </c>
      <c r="B1274" t="str">
        <f>T("   ZZZ_Monde")</f>
        <v xml:space="preserve">   ZZZ_Monde</v>
      </c>
      <c r="C1274">
        <v>3993750</v>
      </c>
      <c r="D1274">
        <v>360</v>
      </c>
    </row>
    <row r="1275" spans="1:4" x14ac:dyDescent="0.25">
      <c r="A1275" t="str">
        <f>T("   TG")</f>
        <v xml:space="preserve">   TG</v>
      </c>
      <c r="B1275" t="str">
        <f>T("   Togo")</f>
        <v xml:space="preserve">   Togo</v>
      </c>
      <c r="C1275">
        <v>3993750</v>
      </c>
      <c r="D1275">
        <v>360</v>
      </c>
    </row>
    <row r="1276" spans="1:4" x14ac:dyDescent="0.25">
      <c r="A1276" t="str">
        <f>T("847982")</f>
        <v>847982</v>
      </c>
      <c r="B1276" t="str">
        <f>T("Machines et appareils à mélanger, malaxer, concasser, broyer, cribler, tamiser, homogénéiser, émulsionner ou brasser, n.d.a. (à l'excl. des robots industriels)")</f>
        <v>Machines et appareils à mélanger, malaxer, concasser, broyer, cribler, tamiser, homogénéiser, émulsionner ou brasser, n.d.a. (à l'excl. des robots industriels)</v>
      </c>
    </row>
    <row r="1277" spans="1:4" x14ac:dyDescent="0.25">
      <c r="A1277" t="str">
        <f>T("   ZZZ_Monde")</f>
        <v xml:space="preserve">   ZZZ_Monde</v>
      </c>
      <c r="B1277" t="str">
        <f>T("   ZZZ_Monde")</f>
        <v xml:space="preserve">   ZZZ_Monde</v>
      </c>
      <c r="C1277">
        <v>27003906</v>
      </c>
      <c r="D1277">
        <v>22000</v>
      </c>
    </row>
    <row r="1278" spans="1:4" x14ac:dyDescent="0.25">
      <c r="A1278" t="str">
        <f>T("   TZ")</f>
        <v xml:space="preserve">   TZ</v>
      </c>
      <c r="B1278" t="str">
        <f>T("   Tanzanie")</f>
        <v xml:space="preserve">   Tanzanie</v>
      </c>
      <c r="C1278">
        <v>27003906</v>
      </c>
      <c r="D1278">
        <v>22000</v>
      </c>
    </row>
    <row r="1279" spans="1:4" x14ac:dyDescent="0.25">
      <c r="A1279" t="str">
        <f>T("847990")</f>
        <v>847990</v>
      </c>
      <c r="B1279" t="str">
        <f>T("Parties de machines et appareils, y.c. les appareils mécaniques, n.d.a.")</f>
        <v>Parties de machines et appareils, y.c. les appareils mécaniques, n.d.a.</v>
      </c>
    </row>
    <row r="1280" spans="1:4" x14ac:dyDescent="0.25">
      <c r="A1280" t="str">
        <f>T("   ZZZ_Monde")</f>
        <v xml:space="preserve">   ZZZ_Monde</v>
      </c>
      <c r="B1280" t="str">
        <f>T("   ZZZ_Monde")</f>
        <v xml:space="preserve">   ZZZ_Monde</v>
      </c>
      <c r="C1280">
        <v>1599169</v>
      </c>
      <c r="D1280">
        <v>2000</v>
      </c>
    </row>
    <row r="1281" spans="1:4" x14ac:dyDescent="0.25">
      <c r="A1281" t="str">
        <f>T("   MZ")</f>
        <v xml:space="preserve">   MZ</v>
      </c>
      <c r="B1281" t="str">
        <f>T("   Mozambique")</f>
        <v xml:space="preserve">   Mozambique</v>
      </c>
      <c r="C1281">
        <v>1599169</v>
      </c>
      <c r="D1281">
        <v>2000</v>
      </c>
    </row>
    <row r="1282" spans="1:4" x14ac:dyDescent="0.25">
      <c r="A1282" t="str">
        <f>T("848180")</f>
        <v>848180</v>
      </c>
      <c r="B1282" t="str">
        <f>T("Articles de robinetterie et organes simil. pour tuyauteries, etc. (à l'excl. des détendeurs, valves pour transmissions oléohydrauliques ou pneumatiques, clapets et soupapes de retenue et sauf soupapes de trop-plein ou de sûreté)")</f>
        <v>Articles de robinetterie et organes simil. pour tuyauteries, etc. (à l'excl. des détendeurs, valves pour transmissions oléohydrauliques ou pneumatiques, clapets et soupapes de retenue et sauf soupapes de trop-plein ou de sûreté)</v>
      </c>
    </row>
    <row r="1283" spans="1:4" x14ac:dyDescent="0.25">
      <c r="A1283" t="str">
        <f>T("   ZZZ_Monde")</f>
        <v xml:space="preserve">   ZZZ_Monde</v>
      </c>
      <c r="B1283" t="str">
        <f>T("   ZZZ_Monde")</f>
        <v xml:space="preserve">   ZZZ_Monde</v>
      </c>
      <c r="C1283">
        <v>96425000</v>
      </c>
      <c r="D1283">
        <v>16300</v>
      </c>
    </row>
    <row r="1284" spans="1:4" x14ac:dyDescent="0.25">
      <c r="A1284" t="str">
        <f>T("   NG")</f>
        <v xml:space="preserve">   NG</v>
      </c>
      <c r="B1284" t="str">
        <f>T("   Nigéria")</f>
        <v xml:space="preserve">   Nigéria</v>
      </c>
      <c r="C1284">
        <v>96425000</v>
      </c>
      <c r="D1284">
        <v>16300</v>
      </c>
    </row>
    <row r="1285" spans="1:4" x14ac:dyDescent="0.25">
      <c r="A1285" t="str">
        <f>T("848330")</f>
        <v>848330</v>
      </c>
      <c r="B1285" t="str">
        <f>T("Paliers pour machines, sans roulements incorporés; coussinets et coquilles de coussinets pour machines")</f>
        <v>Paliers pour machines, sans roulements incorporés; coussinets et coquilles de coussinets pour machines</v>
      </c>
    </row>
    <row r="1286" spans="1:4" x14ac:dyDescent="0.25">
      <c r="A1286" t="str">
        <f>T("   ZZZ_Monde")</f>
        <v xml:space="preserve">   ZZZ_Monde</v>
      </c>
      <c r="B1286" t="str">
        <f>T("   ZZZ_Monde")</f>
        <v xml:space="preserve">   ZZZ_Monde</v>
      </c>
      <c r="C1286">
        <v>1311920</v>
      </c>
      <c r="D1286">
        <v>8000</v>
      </c>
    </row>
    <row r="1287" spans="1:4" x14ac:dyDescent="0.25">
      <c r="A1287" t="str">
        <f>T("   GA")</f>
        <v xml:space="preserve">   GA</v>
      </c>
      <c r="B1287" t="str">
        <f>T("   Gabon")</f>
        <v xml:space="preserve">   Gabon</v>
      </c>
      <c r="C1287">
        <v>1311920</v>
      </c>
      <c r="D1287">
        <v>8000</v>
      </c>
    </row>
    <row r="1288" spans="1:4" x14ac:dyDescent="0.25">
      <c r="A1288" t="str">
        <f>T("848350")</f>
        <v>848350</v>
      </c>
      <c r="B1288" t="str">
        <f>T("Volants et poulies, y.c. les poulies à moufles")</f>
        <v>Volants et poulies, y.c. les poulies à moufles</v>
      </c>
    </row>
    <row r="1289" spans="1:4" x14ac:dyDescent="0.25">
      <c r="A1289" t="str">
        <f>T("   ZZZ_Monde")</f>
        <v xml:space="preserve">   ZZZ_Monde</v>
      </c>
      <c r="B1289" t="str">
        <f>T("   ZZZ_Monde")</f>
        <v xml:space="preserve">   ZZZ_Monde</v>
      </c>
      <c r="C1289">
        <v>14174724</v>
      </c>
      <c r="D1289">
        <v>980</v>
      </c>
    </row>
    <row r="1290" spans="1:4" x14ac:dyDescent="0.25">
      <c r="A1290" t="str">
        <f>T("   DE")</f>
        <v xml:space="preserve">   DE</v>
      </c>
      <c r="B1290" t="str">
        <f>T("   Allemagne")</f>
        <v xml:space="preserve">   Allemagne</v>
      </c>
      <c r="C1290">
        <v>14174724</v>
      </c>
      <c r="D1290">
        <v>980</v>
      </c>
    </row>
    <row r="1291" spans="1:4" x14ac:dyDescent="0.25">
      <c r="A1291" t="str">
        <f>T("850211")</f>
        <v>850211</v>
      </c>
      <c r="B1291" t="s">
        <v>18</v>
      </c>
    </row>
    <row r="1292" spans="1:4" x14ac:dyDescent="0.25">
      <c r="A1292" t="str">
        <f>T("   ZZZ_Monde")</f>
        <v xml:space="preserve">   ZZZ_Monde</v>
      </c>
      <c r="B1292" t="str">
        <f>T("   ZZZ_Monde")</f>
        <v xml:space="preserve">   ZZZ_Monde</v>
      </c>
      <c r="C1292">
        <v>18435389</v>
      </c>
      <c r="D1292">
        <v>3574</v>
      </c>
    </row>
    <row r="1293" spans="1:4" x14ac:dyDescent="0.25">
      <c r="A1293" t="str">
        <f>T("   BF")</f>
        <v xml:space="preserve">   BF</v>
      </c>
      <c r="B1293" t="str">
        <f>T("   Burkina Faso")</f>
        <v xml:space="preserve">   Burkina Faso</v>
      </c>
      <c r="C1293">
        <v>8886563</v>
      </c>
      <c r="D1293">
        <v>1844</v>
      </c>
    </row>
    <row r="1294" spans="1:4" x14ac:dyDescent="0.25">
      <c r="A1294" t="str">
        <f>T("   CI")</f>
        <v xml:space="preserve">   CI</v>
      </c>
      <c r="B1294" t="str">
        <f>T("   Côte d'Ivoire")</f>
        <v xml:space="preserve">   Côte d'Ivoire</v>
      </c>
      <c r="C1294">
        <v>3000000</v>
      </c>
      <c r="D1294">
        <v>730</v>
      </c>
    </row>
    <row r="1295" spans="1:4" x14ac:dyDescent="0.25">
      <c r="A1295" t="str">
        <f>T("   GQ")</f>
        <v xml:space="preserve">   GQ</v>
      </c>
      <c r="B1295" t="str">
        <f>T("   Guinée Equatoriale")</f>
        <v xml:space="preserve">   Guinée Equatoriale</v>
      </c>
      <c r="C1295">
        <v>6548826</v>
      </c>
      <c r="D1295">
        <v>1000</v>
      </c>
    </row>
    <row r="1296" spans="1:4" x14ac:dyDescent="0.25">
      <c r="A1296" t="str">
        <f>T("850212")</f>
        <v>850212</v>
      </c>
      <c r="B1296" t="str">
        <f>T("GROUPES ÉLECTROGÈNES À MOTEUR À PISTON À ALLUMAGE PAR COMPRESSION 'MOTEURS DIESEL OU SEMI-DIESEL', PUISSANCE &gt; 75 KVA MAIS &lt;= 375 KVA")</f>
        <v>GROUPES ÉLECTROGÈNES À MOTEUR À PISTON À ALLUMAGE PAR COMPRESSION 'MOTEURS DIESEL OU SEMI-DIESEL', PUISSANCE &gt; 75 KVA MAIS &lt;= 375 KVA</v>
      </c>
    </row>
    <row r="1297" spans="1:4" x14ac:dyDescent="0.25">
      <c r="A1297" t="str">
        <f>T("   ZZZ_Monde")</f>
        <v xml:space="preserve">   ZZZ_Monde</v>
      </c>
      <c r="B1297" t="str">
        <f>T("   ZZZ_Monde")</f>
        <v xml:space="preserve">   ZZZ_Monde</v>
      </c>
      <c r="C1297">
        <v>179487295</v>
      </c>
      <c r="D1297">
        <v>322095</v>
      </c>
    </row>
    <row r="1298" spans="1:4" x14ac:dyDescent="0.25">
      <c r="A1298" t="str">
        <f>T("   BF")</f>
        <v xml:space="preserve">   BF</v>
      </c>
      <c r="B1298" t="str">
        <f>T("   Burkina Faso")</f>
        <v xml:space="preserve">   Burkina Faso</v>
      </c>
      <c r="C1298">
        <v>16737500</v>
      </c>
      <c r="D1298">
        <v>2270</v>
      </c>
    </row>
    <row r="1299" spans="1:4" x14ac:dyDescent="0.25">
      <c r="A1299" t="str">
        <f>T("   CM")</f>
        <v xml:space="preserve">   CM</v>
      </c>
      <c r="B1299" t="str">
        <f>T("   Cameroun")</f>
        <v xml:space="preserve">   Cameroun</v>
      </c>
      <c r="C1299">
        <v>380000</v>
      </c>
      <c r="D1299">
        <v>125</v>
      </c>
    </row>
    <row r="1300" spans="1:4" x14ac:dyDescent="0.25">
      <c r="A1300" t="str">
        <f>T("   FR")</f>
        <v xml:space="preserve">   FR</v>
      </c>
      <c r="B1300" t="str">
        <f>T("   France")</f>
        <v xml:space="preserve">   France</v>
      </c>
      <c r="C1300">
        <v>36845272</v>
      </c>
      <c r="D1300">
        <v>5700</v>
      </c>
    </row>
    <row r="1301" spans="1:4" x14ac:dyDescent="0.25">
      <c r="A1301" t="str">
        <f>T("   NL")</f>
        <v xml:space="preserve">   NL</v>
      </c>
      <c r="B1301" t="str">
        <f>T("   Pays-bas")</f>
        <v xml:space="preserve">   Pays-bas</v>
      </c>
      <c r="C1301">
        <v>8158188</v>
      </c>
      <c r="D1301">
        <v>26000</v>
      </c>
    </row>
    <row r="1302" spans="1:4" x14ac:dyDescent="0.25">
      <c r="A1302" t="str">
        <f>T("   SN")</f>
        <v xml:space="preserve">   SN</v>
      </c>
      <c r="B1302" t="str">
        <f>T("   Sénégal")</f>
        <v xml:space="preserve">   Sénégal</v>
      </c>
      <c r="C1302">
        <v>117366335</v>
      </c>
      <c r="D1302">
        <v>288000</v>
      </c>
    </row>
    <row r="1303" spans="1:4" x14ac:dyDescent="0.25">
      <c r="A1303" t="str">
        <f>T("850213")</f>
        <v>850213</v>
      </c>
      <c r="B1303" t="s">
        <v>19</v>
      </c>
    </row>
    <row r="1304" spans="1:4" x14ac:dyDescent="0.25">
      <c r="A1304" t="str">
        <f>T("   ZZZ_Monde")</f>
        <v xml:space="preserve">   ZZZ_Monde</v>
      </c>
      <c r="B1304" t="str">
        <f>T("   ZZZ_Monde")</f>
        <v xml:space="preserve">   ZZZ_Monde</v>
      </c>
      <c r="C1304">
        <v>4972716492</v>
      </c>
      <c r="D1304">
        <v>1027196</v>
      </c>
    </row>
    <row r="1305" spans="1:4" x14ac:dyDescent="0.25">
      <c r="A1305" t="str">
        <f>T("   AE")</f>
        <v xml:space="preserve">   AE</v>
      </c>
      <c r="B1305" t="str">
        <f>T("   Emirats Arabes Unis")</f>
        <v xml:space="preserve">   Emirats Arabes Unis</v>
      </c>
      <c r="C1305">
        <v>383873784</v>
      </c>
      <c r="D1305">
        <v>232800</v>
      </c>
    </row>
    <row r="1306" spans="1:4" x14ac:dyDescent="0.25">
      <c r="A1306" t="str">
        <f>T("   BE")</f>
        <v xml:space="preserve">   BE</v>
      </c>
      <c r="B1306" t="str">
        <f>T("   Belgique")</f>
        <v xml:space="preserve">   Belgique</v>
      </c>
      <c r="C1306">
        <v>1786914204</v>
      </c>
      <c r="D1306">
        <v>304000</v>
      </c>
    </row>
    <row r="1307" spans="1:4" x14ac:dyDescent="0.25">
      <c r="A1307" t="str">
        <f>T("   IT")</f>
        <v xml:space="preserve">   IT</v>
      </c>
      <c r="B1307" t="str">
        <f>T("   Italie")</f>
        <v xml:space="preserve">   Italie</v>
      </c>
      <c r="C1307">
        <v>55000000</v>
      </c>
      <c r="D1307">
        <v>57600</v>
      </c>
    </row>
    <row r="1308" spans="1:4" x14ac:dyDescent="0.25">
      <c r="A1308" t="str">
        <f>T("   NG")</f>
        <v xml:space="preserve">   NG</v>
      </c>
      <c r="B1308" t="str">
        <f>T("   Nigéria")</f>
        <v xml:space="preserve">   Nigéria</v>
      </c>
      <c r="C1308">
        <v>6367700</v>
      </c>
      <c r="D1308">
        <v>8130</v>
      </c>
    </row>
    <row r="1309" spans="1:4" x14ac:dyDescent="0.25">
      <c r="A1309" t="str">
        <f>T("   NL")</f>
        <v xml:space="preserve">   NL</v>
      </c>
      <c r="B1309" t="str">
        <f>T("   Pays-bas")</f>
        <v xml:space="preserve">   Pays-bas</v>
      </c>
      <c r="C1309">
        <v>2740560804</v>
      </c>
      <c r="D1309">
        <v>424666</v>
      </c>
    </row>
    <row r="1310" spans="1:4" x14ac:dyDescent="0.25">
      <c r="A1310" t="str">
        <f>T("850239")</f>
        <v>850239</v>
      </c>
      <c r="B1310" t="str">
        <f>T("Groupes électrogènes (autres qu'à énergie éolienne et à moteurs à piston)")</f>
        <v>Groupes électrogènes (autres qu'à énergie éolienne et à moteurs à piston)</v>
      </c>
    </row>
    <row r="1311" spans="1:4" x14ac:dyDescent="0.25">
      <c r="A1311" t="str">
        <f>T("   ZZZ_Monde")</f>
        <v xml:space="preserve">   ZZZ_Monde</v>
      </c>
      <c r="B1311" t="str">
        <f>T("   ZZZ_Monde")</f>
        <v xml:space="preserve">   ZZZ_Monde</v>
      </c>
      <c r="C1311">
        <v>89940825</v>
      </c>
      <c r="D1311">
        <v>10900</v>
      </c>
    </row>
    <row r="1312" spans="1:4" x14ac:dyDescent="0.25">
      <c r="A1312" t="str">
        <f>T("   CG")</f>
        <v xml:space="preserve">   CG</v>
      </c>
      <c r="B1312" t="str">
        <f>T("   Congo (Brazzaville)")</f>
        <v xml:space="preserve">   Congo (Brazzaville)</v>
      </c>
      <c r="C1312">
        <v>3200000</v>
      </c>
      <c r="D1312">
        <v>2500</v>
      </c>
    </row>
    <row r="1313" spans="1:4" x14ac:dyDescent="0.25">
      <c r="A1313" t="str">
        <f>T("   CI")</f>
        <v xml:space="preserve">   CI</v>
      </c>
      <c r="B1313" t="str">
        <f>T("   Côte d'Ivoire")</f>
        <v xml:space="preserve">   Côte d'Ivoire</v>
      </c>
      <c r="C1313">
        <v>86740825</v>
      </c>
      <c r="D1313">
        <v>8400</v>
      </c>
    </row>
    <row r="1314" spans="1:4" x14ac:dyDescent="0.25">
      <c r="A1314" t="str">
        <f>T("850300")</f>
        <v>850300</v>
      </c>
      <c r="B1314" t="str">
        <f>T("Parties reconnaissables comme étant exclusivement ou principalement destinées aux moteurs et machines génératrices électriques, groupes électrogènes ou convertisseurs rotatifs électriques n.d.a.")</f>
        <v>Parties reconnaissables comme étant exclusivement ou principalement destinées aux moteurs et machines génératrices électriques, groupes électrogènes ou convertisseurs rotatifs électriques n.d.a.</v>
      </c>
    </row>
    <row r="1315" spans="1:4" x14ac:dyDescent="0.25">
      <c r="A1315" t="str">
        <f>T("   ZZZ_Monde")</f>
        <v xml:space="preserve">   ZZZ_Monde</v>
      </c>
      <c r="B1315" t="str">
        <f>T("   ZZZ_Monde")</f>
        <v xml:space="preserve">   ZZZ_Monde</v>
      </c>
      <c r="C1315">
        <v>726438395</v>
      </c>
      <c r="D1315">
        <v>239016</v>
      </c>
    </row>
    <row r="1316" spans="1:4" x14ac:dyDescent="0.25">
      <c r="A1316" t="str">
        <f>T("   AE")</f>
        <v xml:space="preserve">   AE</v>
      </c>
      <c r="B1316" t="str">
        <f>T("   Emirats Arabes Unis")</f>
        <v xml:space="preserve">   Emirats Arabes Unis</v>
      </c>
      <c r="C1316">
        <v>125320189</v>
      </c>
      <c r="D1316">
        <v>50460</v>
      </c>
    </row>
    <row r="1317" spans="1:4" x14ac:dyDescent="0.25">
      <c r="A1317" t="str">
        <f>T("   BE")</f>
        <v xml:space="preserve">   BE</v>
      </c>
      <c r="B1317" t="str">
        <f>T("   Belgique")</f>
        <v xml:space="preserve">   Belgique</v>
      </c>
      <c r="C1317">
        <v>66022306</v>
      </c>
      <c r="D1317">
        <v>37000</v>
      </c>
    </row>
    <row r="1318" spans="1:4" x14ac:dyDescent="0.25">
      <c r="A1318" t="str">
        <f>T("   IT")</f>
        <v xml:space="preserve">   IT</v>
      </c>
      <c r="B1318" t="str">
        <f>T("   Italie")</f>
        <v xml:space="preserve">   Italie</v>
      </c>
      <c r="C1318">
        <v>114861</v>
      </c>
      <c r="D1318">
        <v>905</v>
      </c>
    </row>
    <row r="1319" spans="1:4" x14ac:dyDescent="0.25">
      <c r="A1319" t="str">
        <f>T("   NL")</f>
        <v xml:space="preserve">   NL</v>
      </c>
      <c r="B1319" t="str">
        <f>T("   Pays-bas")</f>
        <v xml:space="preserve">   Pays-bas</v>
      </c>
      <c r="C1319">
        <v>510117916</v>
      </c>
      <c r="D1319">
        <v>134151</v>
      </c>
    </row>
    <row r="1320" spans="1:4" x14ac:dyDescent="0.25">
      <c r="A1320" t="str">
        <f>T("   SN")</f>
        <v xml:space="preserve">   SN</v>
      </c>
      <c r="B1320" t="str">
        <f>T("   Sénégal")</f>
        <v xml:space="preserve">   Sénégal</v>
      </c>
      <c r="C1320">
        <v>24863123</v>
      </c>
      <c r="D1320">
        <v>16500</v>
      </c>
    </row>
    <row r="1321" spans="1:4" x14ac:dyDescent="0.25">
      <c r="A1321" t="str">
        <f>T("850422")</f>
        <v>850422</v>
      </c>
      <c r="B1321" t="str">
        <f>T("Transformateurs à diélectrique liquide, puissance &gt; 650 kVA mais &lt;= 10.000 kVA")</f>
        <v>Transformateurs à diélectrique liquide, puissance &gt; 650 kVA mais &lt;= 10.000 kVA</v>
      </c>
    </row>
    <row r="1322" spans="1:4" x14ac:dyDescent="0.25">
      <c r="A1322" t="str">
        <f>T("   ZZZ_Monde")</f>
        <v xml:space="preserve">   ZZZ_Monde</v>
      </c>
      <c r="B1322" t="str">
        <f>T("   ZZZ_Monde")</f>
        <v xml:space="preserve">   ZZZ_Monde</v>
      </c>
      <c r="C1322">
        <v>1241346615</v>
      </c>
      <c r="D1322">
        <v>249800</v>
      </c>
    </row>
    <row r="1323" spans="1:4" x14ac:dyDescent="0.25">
      <c r="A1323" t="str">
        <f>T("   AE")</f>
        <v xml:space="preserve">   AE</v>
      </c>
      <c r="B1323" t="str">
        <f>T("   Emirats Arabes Unis")</f>
        <v xml:space="preserve">   Emirats Arabes Unis</v>
      </c>
      <c r="C1323">
        <v>95968446</v>
      </c>
      <c r="D1323">
        <v>58200</v>
      </c>
    </row>
    <row r="1324" spans="1:4" x14ac:dyDescent="0.25">
      <c r="A1324" t="str">
        <f>T("   BE")</f>
        <v xml:space="preserve">   BE</v>
      </c>
      <c r="B1324" t="str">
        <f>T("   Belgique")</f>
        <v xml:space="preserve">   Belgique</v>
      </c>
      <c r="C1324">
        <v>266249098</v>
      </c>
      <c r="D1324">
        <v>60000</v>
      </c>
    </row>
    <row r="1325" spans="1:4" x14ac:dyDescent="0.25">
      <c r="A1325" t="str">
        <f>T("   NL")</f>
        <v xml:space="preserve">   NL</v>
      </c>
      <c r="B1325" t="str">
        <f>T("   Pays-bas")</f>
        <v xml:space="preserve">   Pays-bas</v>
      </c>
      <c r="C1325">
        <v>622549836</v>
      </c>
      <c r="D1325">
        <v>71600</v>
      </c>
    </row>
    <row r="1326" spans="1:4" x14ac:dyDescent="0.25">
      <c r="A1326" t="str">
        <f>T("   SN")</f>
        <v xml:space="preserve">   SN</v>
      </c>
      <c r="B1326" t="str">
        <f>T("   Sénégal")</f>
        <v xml:space="preserve">   Sénégal</v>
      </c>
      <c r="C1326">
        <v>256579235</v>
      </c>
      <c r="D1326">
        <v>60000</v>
      </c>
    </row>
    <row r="1327" spans="1:4" x14ac:dyDescent="0.25">
      <c r="A1327" t="str">
        <f>T("851580")</f>
        <v>851580</v>
      </c>
      <c r="B1327" t="str">
        <f>T("Machines et appareils électriques pour le soudage, opérant par laser ou autres faisceaux de lumière ou de photons, par ultrasons, par faisceaux d'électrons, par impulsions magnétiques; machines et appareils électriques pour la projection à chaud de métaux")</f>
        <v>Machines et appareils électriques pour le soudage, opérant par laser ou autres faisceaux de lumière ou de photons, par ultrasons, par faisceaux d'électrons, par impulsions magnétiques; machines et appareils électriques pour la projection à chaud de métaux</v>
      </c>
    </row>
    <row r="1328" spans="1:4" x14ac:dyDescent="0.25">
      <c r="A1328" t="str">
        <f>T("   ZZZ_Monde")</f>
        <v xml:space="preserve">   ZZZ_Monde</v>
      </c>
      <c r="B1328" t="str">
        <f>T("   ZZZ_Monde")</f>
        <v xml:space="preserve">   ZZZ_Monde</v>
      </c>
      <c r="C1328">
        <v>993058</v>
      </c>
      <c r="D1328">
        <v>1074</v>
      </c>
    </row>
    <row r="1329" spans="1:4" x14ac:dyDescent="0.25">
      <c r="A1329" t="str">
        <f>T("   NL")</f>
        <v xml:space="preserve">   NL</v>
      </c>
      <c r="B1329" t="str">
        <f>T("   Pays-bas")</f>
        <v xml:space="preserve">   Pays-bas</v>
      </c>
      <c r="C1329">
        <v>233058</v>
      </c>
      <c r="D1329">
        <v>1000</v>
      </c>
    </row>
    <row r="1330" spans="1:4" x14ac:dyDescent="0.25">
      <c r="A1330" t="str">
        <f>T("   TG")</f>
        <v xml:space="preserve">   TG</v>
      </c>
      <c r="B1330" t="str">
        <f>T("   Togo")</f>
        <v xml:space="preserve">   Togo</v>
      </c>
      <c r="C1330">
        <v>760000</v>
      </c>
      <c r="D1330">
        <v>74</v>
      </c>
    </row>
    <row r="1331" spans="1:4" x14ac:dyDescent="0.25">
      <c r="A1331" t="str">
        <f>T("851610")</f>
        <v>851610</v>
      </c>
      <c r="B1331" t="str">
        <f>T("Chauffe-eau et thermoplongeurs électriques")</f>
        <v>Chauffe-eau et thermoplongeurs électriques</v>
      </c>
    </row>
    <row r="1332" spans="1:4" x14ac:dyDescent="0.25">
      <c r="A1332" t="str">
        <f>T("   ZZZ_Monde")</f>
        <v xml:space="preserve">   ZZZ_Monde</v>
      </c>
      <c r="B1332" t="str">
        <f>T("   ZZZ_Monde")</f>
        <v xml:space="preserve">   ZZZ_Monde</v>
      </c>
      <c r="C1332">
        <v>187784</v>
      </c>
      <c r="D1332">
        <v>62</v>
      </c>
    </row>
    <row r="1333" spans="1:4" x14ac:dyDescent="0.25">
      <c r="A1333" t="str">
        <f>T("   TG")</f>
        <v xml:space="preserve">   TG</v>
      </c>
      <c r="B1333" t="str">
        <f>T("   Togo")</f>
        <v xml:space="preserve">   Togo</v>
      </c>
      <c r="C1333">
        <v>187784</v>
      </c>
      <c r="D1333">
        <v>62</v>
      </c>
    </row>
    <row r="1334" spans="1:4" x14ac:dyDescent="0.25">
      <c r="A1334" t="str">
        <f>T("851650")</f>
        <v>851650</v>
      </c>
      <c r="B1334" t="str">
        <f>T("Fours à micro-ondes")</f>
        <v>Fours à micro-ondes</v>
      </c>
    </row>
    <row r="1335" spans="1:4" x14ac:dyDescent="0.25">
      <c r="A1335" t="str">
        <f>T("   ZZZ_Monde")</f>
        <v xml:space="preserve">   ZZZ_Monde</v>
      </c>
      <c r="B1335" t="str">
        <f>T("   ZZZ_Monde")</f>
        <v xml:space="preserve">   ZZZ_Monde</v>
      </c>
      <c r="C1335">
        <v>826932</v>
      </c>
      <c r="D1335">
        <v>189</v>
      </c>
    </row>
    <row r="1336" spans="1:4" x14ac:dyDescent="0.25">
      <c r="A1336" t="str">
        <f>T("   TG")</f>
        <v xml:space="preserve">   TG</v>
      </c>
      <c r="B1336" t="str">
        <f>T("   Togo")</f>
        <v xml:space="preserve">   Togo</v>
      </c>
      <c r="C1336">
        <v>826932</v>
      </c>
      <c r="D1336">
        <v>189</v>
      </c>
    </row>
    <row r="1337" spans="1:4" x14ac:dyDescent="0.25">
      <c r="A1337" t="str">
        <f>T("851660")</f>
        <v>851660</v>
      </c>
      <c r="B1337" t="str">
        <f>T("Fours, cuisinières, réchauds, tables de cuisson, grils et rôtissoires électriques, pour usages domestiques (sauf fours destinés au chauffage des locaux et fours à micro-ondes)")</f>
        <v>Fours, cuisinières, réchauds, tables de cuisson, grils et rôtissoires électriques, pour usages domestiques (sauf fours destinés au chauffage des locaux et fours à micro-ondes)</v>
      </c>
    </row>
    <row r="1338" spans="1:4" x14ac:dyDescent="0.25">
      <c r="A1338" t="str">
        <f>T("   ZZZ_Monde")</f>
        <v xml:space="preserve">   ZZZ_Monde</v>
      </c>
      <c r="B1338" t="str">
        <f>T("   ZZZ_Monde")</f>
        <v xml:space="preserve">   ZZZ_Monde</v>
      </c>
      <c r="C1338">
        <v>1659270</v>
      </c>
      <c r="D1338">
        <v>391</v>
      </c>
    </row>
    <row r="1339" spans="1:4" x14ac:dyDescent="0.25">
      <c r="A1339" t="str">
        <f>T("   TG")</f>
        <v xml:space="preserve">   TG</v>
      </c>
      <c r="B1339" t="str">
        <f>T("   Togo")</f>
        <v xml:space="preserve">   Togo</v>
      </c>
      <c r="C1339">
        <v>1659270</v>
      </c>
      <c r="D1339">
        <v>391</v>
      </c>
    </row>
    <row r="1340" spans="1:4" x14ac:dyDescent="0.25">
      <c r="A1340" t="str">
        <f>T("851750")</f>
        <v>851750</v>
      </c>
      <c r="B1340" t="str">
        <f>T("ÉMETTEURS-RÉCEPTEURS POUR LA TÉLÉCOMMUNICATION PAR COURANT PORTEUR OU POUR LA TÉLÉCOMMUNICATION NUMÉRIQUE, POUR LA TÉLÉPHONIE OU LA TÉLÉGRAPHIE PAR FIL (À L'EXCL. DES POSTES TÉLÉPHONIQUES D'USAGERS, DES VISIOPHONES, DES TÉLÉCOPIEURS, DES TÉLÉSCRIPTEURS ET")</f>
        <v>ÉMETTEURS-RÉCEPTEURS POUR LA TÉLÉCOMMUNICATION PAR COURANT PORTEUR OU POUR LA TÉLÉCOMMUNICATION NUMÉRIQUE, POUR LA TÉLÉPHONIE OU LA TÉLÉGRAPHIE PAR FIL (À L'EXCL. DES POSTES TÉLÉPHONIQUES D'USAGERS, DES VISIOPHONES, DES TÉLÉCOPIEURS, DES TÉLÉSCRIPTEURS ET</v>
      </c>
    </row>
    <row r="1341" spans="1:4" x14ac:dyDescent="0.25">
      <c r="A1341" t="str">
        <f>T("   ZZZ_Monde")</f>
        <v xml:space="preserve">   ZZZ_Monde</v>
      </c>
      <c r="B1341" t="str">
        <f>T("   ZZZ_Monde")</f>
        <v xml:space="preserve">   ZZZ_Monde</v>
      </c>
      <c r="C1341">
        <v>389640</v>
      </c>
      <c r="D1341">
        <v>9</v>
      </c>
    </row>
    <row r="1342" spans="1:4" x14ac:dyDescent="0.25">
      <c r="A1342" t="str">
        <f>T("   NL")</f>
        <v xml:space="preserve">   NL</v>
      </c>
      <c r="B1342" t="str">
        <f>T("   Pays-bas")</f>
        <v xml:space="preserve">   Pays-bas</v>
      </c>
      <c r="C1342">
        <v>389640</v>
      </c>
      <c r="D1342">
        <v>9</v>
      </c>
    </row>
    <row r="1343" spans="1:4" x14ac:dyDescent="0.25">
      <c r="A1343" t="str">
        <f>T("851780")</f>
        <v>851780</v>
      </c>
      <c r="B1343" t="str">
        <f>T("Appareils électriques pour la téléphonie ou la télégraphie par fil (autres que postes téléphoniques d'usagers, visiophones, télécopieurs, téléscripteurs, appareils de commutation et émetteur-récepteur pour la télécommunication par courant porteur ou numér")</f>
        <v>Appareils électriques pour la téléphonie ou la télégraphie par fil (autres que postes téléphoniques d'usagers, visiophones, télécopieurs, téléscripteurs, appareils de commutation et émetteur-récepteur pour la télécommunication par courant porteur ou numér</v>
      </c>
    </row>
    <row r="1344" spans="1:4" x14ac:dyDescent="0.25">
      <c r="A1344" t="str">
        <f>T("   ZZZ_Monde")</f>
        <v xml:space="preserve">   ZZZ_Monde</v>
      </c>
      <c r="B1344" t="str">
        <f>T("   ZZZ_Monde")</f>
        <v xml:space="preserve">   ZZZ_Monde</v>
      </c>
      <c r="C1344">
        <v>118729</v>
      </c>
      <c r="D1344">
        <v>3</v>
      </c>
    </row>
    <row r="1345" spans="1:4" x14ac:dyDescent="0.25">
      <c r="A1345" t="str">
        <f>T("   NL")</f>
        <v xml:space="preserve">   NL</v>
      </c>
      <c r="B1345" t="str">
        <f>T("   Pays-bas")</f>
        <v xml:space="preserve">   Pays-bas</v>
      </c>
      <c r="C1345">
        <v>118729</v>
      </c>
      <c r="D1345">
        <v>3</v>
      </c>
    </row>
    <row r="1346" spans="1:4" x14ac:dyDescent="0.25">
      <c r="A1346" t="str">
        <f>T("851829")</f>
        <v>851829</v>
      </c>
      <c r="B1346" t="str">
        <f>T("Haut-parleurs sans enceinte")</f>
        <v>Haut-parleurs sans enceinte</v>
      </c>
    </row>
    <row r="1347" spans="1:4" x14ac:dyDescent="0.25">
      <c r="A1347" t="str">
        <f>T("   ZZZ_Monde")</f>
        <v xml:space="preserve">   ZZZ_Monde</v>
      </c>
      <c r="B1347" t="str">
        <f>T("   ZZZ_Monde")</f>
        <v xml:space="preserve">   ZZZ_Monde</v>
      </c>
      <c r="C1347">
        <v>4348285</v>
      </c>
      <c r="D1347">
        <v>26000</v>
      </c>
    </row>
    <row r="1348" spans="1:4" x14ac:dyDescent="0.25">
      <c r="A1348" t="str">
        <f>T("   ZA")</f>
        <v xml:space="preserve">   ZA</v>
      </c>
      <c r="B1348" t="str">
        <f>T("   Afrique du Sud")</f>
        <v xml:space="preserve">   Afrique du Sud</v>
      </c>
      <c r="C1348">
        <v>4348285</v>
      </c>
      <c r="D1348">
        <v>26000</v>
      </c>
    </row>
    <row r="1349" spans="1:4" x14ac:dyDescent="0.25">
      <c r="A1349" t="str">
        <f>T("851850")</f>
        <v>851850</v>
      </c>
      <c r="B1349" t="str">
        <f>T("Appareils électriques d'amplification du son")</f>
        <v>Appareils électriques d'amplification du son</v>
      </c>
    </row>
    <row r="1350" spans="1:4" x14ac:dyDescent="0.25">
      <c r="A1350" t="str">
        <f>T("   ZZZ_Monde")</f>
        <v xml:space="preserve">   ZZZ_Monde</v>
      </c>
      <c r="B1350" t="str">
        <f>T("   ZZZ_Monde")</f>
        <v xml:space="preserve">   ZZZ_Monde</v>
      </c>
      <c r="C1350">
        <v>5000000</v>
      </c>
      <c r="D1350">
        <v>20000</v>
      </c>
    </row>
    <row r="1351" spans="1:4" x14ac:dyDescent="0.25">
      <c r="A1351" t="str">
        <f>T("   ZA")</f>
        <v xml:space="preserve">   ZA</v>
      </c>
      <c r="B1351" t="str">
        <f>T("   Afrique du Sud")</f>
        <v xml:space="preserve">   Afrique du Sud</v>
      </c>
      <c r="C1351">
        <v>5000000</v>
      </c>
      <c r="D1351">
        <v>20000</v>
      </c>
    </row>
    <row r="1352" spans="1:4" x14ac:dyDescent="0.25">
      <c r="A1352" t="str">
        <f>T("851999")</f>
        <v>851999</v>
      </c>
      <c r="B1352" t="str">
        <f>T("Appareils de reproduction du son, n'incorporant pas de dispositif d'enregistrement du son (autres que tourne-disques, électrophones commandés par l'introduction d'une pièce de monnaie ou d'un jeton, machines à dicter et lecteurs de cassettes)")</f>
        <v>Appareils de reproduction du son, n'incorporant pas de dispositif d'enregistrement du son (autres que tourne-disques, électrophones commandés par l'introduction d'une pièce de monnaie ou d'un jeton, machines à dicter et lecteurs de cassettes)</v>
      </c>
    </row>
    <row r="1353" spans="1:4" x14ac:dyDescent="0.25">
      <c r="A1353" t="str">
        <f>T("   ZZZ_Monde")</f>
        <v xml:space="preserve">   ZZZ_Monde</v>
      </c>
      <c r="B1353" t="str">
        <f>T("   ZZZ_Monde")</f>
        <v xml:space="preserve">   ZZZ_Monde</v>
      </c>
      <c r="C1353">
        <v>37351180</v>
      </c>
      <c r="D1353">
        <v>22170</v>
      </c>
    </row>
    <row r="1354" spans="1:4" x14ac:dyDescent="0.25">
      <c r="A1354" t="str">
        <f>T("   NE")</f>
        <v xml:space="preserve">   NE</v>
      </c>
      <c r="B1354" t="str">
        <f>T("   Niger")</f>
        <v xml:space="preserve">   Niger</v>
      </c>
      <c r="C1354">
        <v>32351180</v>
      </c>
      <c r="D1354">
        <v>2170</v>
      </c>
    </row>
    <row r="1355" spans="1:4" x14ac:dyDescent="0.25">
      <c r="A1355" t="str">
        <f>T("   ZA")</f>
        <v xml:space="preserve">   ZA</v>
      </c>
      <c r="B1355" t="str">
        <f>T("   Afrique du Sud")</f>
        <v xml:space="preserve">   Afrique du Sud</v>
      </c>
      <c r="C1355">
        <v>5000000</v>
      </c>
      <c r="D1355">
        <v>20000</v>
      </c>
    </row>
    <row r="1356" spans="1:4" x14ac:dyDescent="0.25">
      <c r="A1356" t="str">
        <f>T("852390")</f>
        <v>852390</v>
      </c>
      <c r="B1356" t="str">
        <f>T("SUPPORTS PRÉPARÉS POUR L'ENREGISTREMENT DU SON OU POUR ENREGISTREMENTS ANALOGUES, NON-ENREGISTRÉS (AUTRES QUE BANDES ET DISQUES MAGNÉTIQUES, CARTES MUNIES D'UNE PISTE MAGNÉTIQUE ET PRODUITS DU CHAPITRE 37)")</f>
        <v>SUPPORTS PRÉPARÉS POUR L'ENREGISTREMENT DU SON OU POUR ENREGISTREMENTS ANALOGUES, NON-ENREGISTRÉS (AUTRES QUE BANDES ET DISQUES MAGNÉTIQUES, CARTES MUNIES D'UNE PISTE MAGNÉTIQUE ET PRODUITS DU CHAPITRE 37)</v>
      </c>
    </row>
    <row r="1357" spans="1:4" x14ac:dyDescent="0.25">
      <c r="A1357" t="str">
        <f>T("   ZZZ_Monde")</f>
        <v xml:space="preserve">   ZZZ_Monde</v>
      </c>
      <c r="B1357" t="str">
        <f>T("   ZZZ_Monde")</f>
        <v xml:space="preserve">   ZZZ_Monde</v>
      </c>
      <c r="C1357">
        <v>250000</v>
      </c>
      <c r="D1357">
        <v>1000</v>
      </c>
    </row>
    <row r="1358" spans="1:4" x14ac:dyDescent="0.25">
      <c r="A1358" t="str">
        <f>T("   DK")</f>
        <v xml:space="preserve">   DK</v>
      </c>
      <c r="B1358" t="str">
        <f>T("   Danemark")</f>
        <v xml:space="preserve">   Danemark</v>
      </c>
      <c r="C1358">
        <v>250000</v>
      </c>
      <c r="D1358">
        <v>1000</v>
      </c>
    </row>
    <row r="1359" spans="1:4" x14ac:dyDescent="0.25">
      <c r="A1359" t="str">
        <f>T("852790")</f>
        <v>852790</v>
      </c>
      <c r="B1359" t="str">
        <f>T("Récepteurs pour la radiotéléphonie, la radiotélégraphie ou la radiodiffusion commerciale")</f>
        <v>Récepteurs pour la radiotéléphonie, la radiotélégraphie ou la radiodiffusion commerciale</v>
      </c>
    </row>
    <row r="1360" spans="1:4" x14ac:dyDescent="0.25">
      <c r="A1360" t="str">
        <f>T("   ZZZ_Monde")</f>
        <v xml:space="preserve">   ZZZ_Monde</v>
      </c>
      <c r="B1360" t="str">
        <f>T("   ZZZ_Monde")</f>
        <v xml:space="preserve">   ZZZ_Monde</v>
      </c>
      <c r="C1360">
        <v>200000</v>
      </c>
      <c r="D1360">
        <v>12</v>
      </c>
    </row>
    <row r="1361" spans="1:4" x14ac:dyDescent="0.25">
      <c r="A1361" t="str">
        <f>T("   GQ")</f>
        <v xml:space="preserve">   GQ</v>
      </c>
      <c r="B1361" t="str">
        <f>T("   Guinée Equatoriale")</f>
        <v xml:space="preserve">   Guinée Equatoriale</v>
      </c>
      <c r="C1361">
        <v>200000</v>
      </c>
      <c r="D1361">
        <v>12</v>
      </c>
    </row>
    <row r="1362" spans="1:4" x14ac:dyDescent="0.25">
      <c r="A1362" t="str">
        <f>T("852812")</f>
        <v>852812</v>
      </c>
      <c r="B1362" t="str">
        <f>T("Appareils récepteurs pour la télévision en couleurs, même incorporant un appareil récepteur de radiodiffusion ou un appareil d'enregistrement ou de reproduction du son ou des images")</f>
        <v>Appareils récepteurs pour la télévision en couleurs, même incorporant un appareil récepteur de radiodiffusion ou un appareil d'enregistrement ou de reproduction du son ou des images</v>
      </c>
    </row>
    <row r="1363" spans="1:4" x14ac:dyDescent="0.25">
      <c r="A1363" t="str">
        <f>T("   ZZZ_Monde")</f>
        <v xml:space="preserve">   ZZZ_Monde</v>
      </c>
      <c r="B1363" t="str">
        <f>T("   ZZZ_Monde")</f>
        <v xml:space="preserve">   ZZZ_Monde</v>
      </c>
      <c r="C1363">
        <v>3832982</v>
      </c>
      <c r="D1363">
        <v>2888</v>
      </c>
    </row>
    <row r="1364" spans="1:4" x14ac:dyDescent="0.25">
      <c r="A1364" t="str">
        <f>T("   BE")</f>
        <v xml:space="preserve">   BE</v>
      </c>
      <c r="B1364" t="str">
        <f>T("   Belgique")</f>
        <v xml:space="preserve">   Belgique</v>
      </c>
      <c r="C1364">
        <v>2000000</v>
      </c>
      <c r="D1364">
        <v>2522</v>
      </c>
    </row>
    <row r="1365" spans="1:4" x14ac:dyDescent="0.25">
      <c r="A1365" t="str">
        <f>T("   GQ")</f>
        <v xml:space="preserve">   GQ</v>
      </c>
      <c r="B1365" t="str">
        <f>T("   Guinée Equatoriale")</f>
        <v xml:space="preserve">   Guinée Equatoriale</v>
      </c>
      <c r="C1365">
        <v>315000</v>
      </c>
      <c r="D1365">
        <v>10</v>
      </c>
    </row>
    <row r="1366" spans="1:4" x14ac:dyDescent="0.25">
      <c r="A1366" t="str">
        <f>T("   TG")</f>
        <v xml:space="preserve">   TG</v>
      </c>
      <c r="B1366" t="str">
        <f>T("   Togo")</f>
        <v xml:space="preserve">   Togo</v>
      </c>
      <c r="C1366">
        <v>1517982</v>
      </c>
      <c r="D1366">
        <v>356</v>
      </c>
    </row>
    <row r="1367" spans="1:4" x14ac:dyDescent="0.25">
      <c r="A1367" t="str">
        <f>T("852910")</f>
        <v>852910</v>
      </c>
      <c r="B1367" t="str">
        <f>T("Antennes et réflecteurs d'antennes de tous types; parties reconnaissables comme étant utilisées conjointement avec ces articles, n.d.a.")</f>
        <v>Antennes et réflecteurs d'antennes de tous types; parties reconnaissables comme étant utilisées conjointement avec ces articles, n.d.a.</v>
      </c>
    </row>
    <row r="1368" spans="1:4" x14ac:dyDescent="0.25">
      <c r="A1368" t="str">
        <f>T("   ZZZ_Monde")</f>
        <v xml:space="preserve">   ZZZ_Monde</v>
      </c>
      <c r="B1368" t="str">
        <f>T("   ZZZ_Monde")</f>
        <v xml:space="preserve">   ZZZ_Monde</v>
      </c>
      <c r="C1368">
        <v>2652839</v>
      </c>
      <c r="D1368">
        <v>482</v>
      </c>
    </row>
    <row r="1369" spans="1:4" x14ac:dyDescent="0.25">
      <c r="A1369" t="str">
        <f>T("   BF")</f>
        <v xml:space="preserve">   BF</v>
      </c>
      <c r="B1369" t="str">
        <f>T("   Burkina Faso")</f>
        <v xml:space="preserve">   Burkina Faso</v>
      </c>
      <c r="C1369">
        <v>1000000</v>
      </c>
      <c r="D1369">
        <v>239</v>
      </c>
    </row>
    <row r="1370" spans="1:4" x14ac:dyDescent="0.25">
      <c r="A1370" t="str">
        <f>T("   ML")</f>
        <v xml:space="preserve">   ML</v>
      </c>
      <c r="B1370" t="str">
        <f>T("   Mali")</f>
        <v xml:space="preserve">   Mali</v>
      </c>
      <c r="C1370">
        <v>1500000</v>
      </c>
      <c r="D1370">
        <v>239</v>
      </c>
    </row>
    <row r="1371" spans="1:4" x14ac:dyDescent="0.25">
      <c r="A1371" t="str">
        <f>T("   NL")</f>
        <v xml:space="preserve">   NL</v>
      </c>
      <c r="B1371" t="str">
        <f>T("   Pays-bas")</f>
        <v xml:space="preserve">   Pays-bas</v>
      </c>
      <c r="C1371">
        <v>152839</v>
      </c>
      <c r="D1371">
        <v>4</v>
      </c>
    </row>
    <row r="1372" spans="1:4" x14ac:dyDescent="0.25">
      <c r="A1372" t="str">
        <f>T("852990")</f>
        <v>852990</v>
      </c>
      <c r="B1372" t="str">
        <f>T("PARTIES RECONNAISSABLES COMME ÉTANT EXCLUSIVEMENT OU PRINCIPALEMENT DESTINÉES AUX APPAREILS ÉMETTEURS-RÉCEPTEURS POUR LA RADIODIFFUSION OU LA TÉLÉVISION, AUX CAMÉRAS DE TÉLÉVISION, AUX APPAREILS PHOTOGRAPHIQUES NUMÉRIQUES, AUX CAMÉSCOPES ET AUX APPAREILS")</f>
        <v>PARTIES RECONNAISSABLES COMME ÉTANT EXCLUSIVEMENT OU PRINCIPALEMENT DESTINÉES AUX APPAREILS ÉMETTEURS-RÉCEPTEURS POUR LA RADIODIFFUSION OU LA TÉLÉVISION, AUX CAMÉRAS DE TÉLÉVISION, AUX APPAREILS PHOTOGRAPHIQUES NUMÉRIQUES, AUX CAMÉSCOPES ET AUX APPAREILS</v>
      </c>
    </row>
    <row r="1373" spans="1:4" x14ac:dyDescent="0.25">
      <c r="A1373" t="str">
        <f>T("   ZZZ_Monde")</f>
        <v xml:space="preserve">   ZZZ_Monde</v>
      </c>
      <c r="B1373" t="str">
        <f>T("   ZZZ_Monde")</f>
        <v xml:space="preserve">   ZZZ_Monde</v>
      </c>
      <c r="C1373">
        <v>60000</v>
      </c>
      <c r="D1373">
        <v>8</v>
      </c>
    </row>
    <row r="1374" spans="1:4" x14ac:dyDescent="0.25">
      <c r="A1374" t="str">
        <f>T("   GQ")</f>
        <v xml:space="preserve">   GQ</v>
      </c>
      <c r="B1374" t="str">
        <f>T("   Guinée Equatoriale")</f>
        <v xml:space="preserve">   Guinée Equatoriale</v>
      </c>
      <c r="C1374">
        <v>60000</v>
      </c>
      <c r="D1374">
        <v>8</v>
      </c>
    </row>
    <row r="1375" spans="1:4" x14ac:dyDescent="0.25">
      <c r="A1375" t="str">
        <f>T("853710")</f>
        <v>853710</v>
      </c>
      <c r="B1375" t="str">
        <f>T("Tableaux, armoires et combinaisons d'appareils simil., pour la commande ou la distribution électrique, pour une tension &gt;= 1.000 V")</f>
        <v>Tableaux, armoires et combinaisons d'appareils simil., pour la commande ou la distribution électrique, pour une tension &gt;= 1.000 V</v>
      </c>
    </row>
    <row r="1376" spans="1:4" x14ac:dyDescent="0.25">
      <c r="A1376" t="str">
        <f>T("   ZZZ_Monde")</f>
        <v xml:space="preserve">   ZZZ_Monde</v>
      </c>
      <c r="B1376" t="str">
        <f>T("   ZZZ_Monde")</f>
        <v xml:space="preserve">   ZZZ_Monde</v>
      </c>
      <c r="C1376">
        <v>15266385</v>
      </c>
      <c r="D1376">
        <v>1680</v>
      </c>
    </row>
    <row r="1377" spans="1:4" x14ac:dyDescent="0.25">
      <c r="A1377" t="str">
        <f>T("   CI")</f>
        <v xml:space="preserve">   CI</v>
      </c>
      <c r="B1377" t="str">
        <f>T("   Côte d'Ivoire")</f>
        <v xml:space="preserve">   Côte d'Ivoire</v>
      </c>
      <c r="C1377">
        <v>15266385</v>
      </c>
      <c r="D1377">
        <v>1680</v>
      </c>
    </row>
    <row r="1378" spans="1:4" x14ac:dyDescent="0.25">
      <c r="A1378" t="str">
        <f>T("853890")</f>
        <v>853890</v>
      </c>
      <c r="B1378" t="str">
        <f>T("Parties reconnaissables comme étant exclusivement ou principalement destinées aux appareils du n° 8535, 8536 ou 8537, n.d.a. (à l'excl. des tableaux, panneaux, consoles, pupitres, armoires et autres supports pour articles du n° 8537, dépourvus de leurs ap")</f>
        <v>Parties reconnaissables comme étant exclusivement ou principalement destinées aux appareils du n° 8535, 8536 ou 8537, n.d.a. (à l'excl. des tableaux, panneaux, consoles, pupitres, armoires et autres supports pour articles du n° 8537, dépourvus de leurs ap</v>
      </c>
    </row>
    <row r="1379" spans="1:4" x14ac:dyDescent="0.25">
      <c r="A1379" t="str">
        <f>T("   ZZZ_Monde")</f>
        <v xml:space="preserve">   ZZZ_Monde</v>
      </c>
      <c r="B1379" t="str">
        <f>T("   ZZZ_Monde")</f>
        <v xml:space="preserve">   ZZZ_Monde</v>
      </c>
      <c r="C1379">
        <v>500000</v>
      </c>
      <c r="D1379">
        <v>2800</v>
      </c>
    </row>
    <row r="1380" spans="1:4" x14ac:dyDescent="0.25">
      <c r="A1380" t="str">
        <f>T("   TG")</f>
        <v xml:space="preserve">   TG</v>
      </c>
      <c r="B1380" t="str">
        <f>T("   Togo")</f>
        <v xml:space="preserve">   Togo</v>
      </c>
      <c r="C1380">
        <v>500000</v>
      </c>
      <c r="D1380">
        <v>2800</v>
      </c>
    </row>
    <row r="1381" spans="1:4" x14ac:dyDescent="0.25">
      <c r="A1381" t="str">
        <f>T("860900")</f>
        <v>860900</v>
      </c>
      <c r="B1381" t="str">
        <f>T("CADRES ET CONTENEURS -Y.C. LES CONTENEURS-CITERNES ET LES CONTENEURS-RÉSERVOIRS- SPÉCIALEMENT CONÇUS ET ÉQUIPÉS POUR UN OU PLUSIEURS MODES DE TRANSPORT")</f>
        <v>CADRES ET CONTENEURS -Y.C. LES CONTENEURS-CITERNES ET LES CONTENEURS-RÉSERVOIRS- SPÉCIALEMENT CONÇUS ET ÉQUIPÉS POUR UN OU PLUSIEURS MODES DE TRANSPORT</v>
      </c>
    </row>
    <row r="1382" spans="1:4" x14ac:dyDescent="0.25">
      <c r="A1382" t="str">
        <f>T("   ZZZ_Monde")</f>
        <v xml:space="preserve">   ZZZ_Monde</v>
      </c>
      <c r="B1382" t="str">
        <f>T("   ZZZ_Monde")</f>
        <v xml:space="preserve">   ZZZ_Monde</v>
      </c>
      <c r="C1382">
        <v>195183835</v>
      </c>
      <c r="D1382">
        <v>217750</v>
      </c>
    </row>
    <row r="1383" spans="1:4" x14ac:dyDescent="0.25">
      <c r="A1383" t="str">
        <f>T("   AE")</f>
        <v xml:space="preserve">   AE</v>
      </c>
      <c r="B1383" t="str">
        <f>T("   Emirats Arabes Unis")</f>
        <v xml:space="preserve">   Emirats Arabes Unis</v>
      </c>
      <c r="C1383">
        <v>2013284</v>
      </c>
      <c r="D1383">
        <v>42000</v>
      </c>
    </row>
    <row r="1384" spans="1:4" x14ac:dyDescent="0.25">
      <c r="A1384" t="str">
        <f>T("   BF")</f>
        <v xml:space="preserve">   BF</v>
      </c>
      <c r="B1384" t="str">
        <f>T("   Burkina Faso")</f>
        <v xml:space="preserve">   Burkina Faso</v>
      </c>
      <c r="C1384">
        <v>933333</v>
      </c>
      <c r="D1384">
        <v>2800</v>
      </c>
    </row>
    <row r="1385" spans="1:4" x14ac:dyDescent="0.25">
      <c r="A1385" t="str">
        <f>T("   GA")</f>
        <v xml:space="preserve">   GA</v>
      </c>
      <c r="B1385" t="str">
        <f>T("   Gabon")</f>
        <v xml:space="preserve">   Gabon</v>
      </c>
      <c r="C1385">
        <v>2000000</v>
      </c>
      <c r="D1385">
        <v>4400</v>
      </c>
    </row>
    <row r="1386" spans="1:4" x14ac:dyDescent="0.25">
      <c r="A1386" t="str">
        <f>T("   ML")</f>
        <v xml:space="preserve">   ML</v>
      </c>
      <c r="B1386" t="str">
        <f>T("   Mali")</f>
        <v xml:space="preserve">   Mali</v>
      </c>
      <c r="C1386">
        <v>10025000</v>
      </c>
      <c r="D1386">
        <v>32500</v>
      </c>
    </row>
    <row r="1387" spans="1:4" x14ac:dyDescent="0.25">
      <c r="A1387" t="str">
        <f>T("   NL")</f>
        <v xml:space="preserve">   NL</v>
      </c>
      <c r="B1387" t="str">
        <f>T("   Pays-bas")</f>
        <v xml:space="preserve">   Pays-bas</v>
      </c>
      <c r="C1387">
        <v>179462218</v>
      </c>
      <c r="D1387">
        <v>126100</v>
      </c>
    </row>
    <row r="1388" spans="1:4" x14ac:dyDescent="0.25">
      <c r="A1388" t="str">
        <f>T("   TG")</f>
        <v xml:space="preserve">   TG</v>
      </c>
      <c r="B1388" t="str">
        <f>T("   Togo")</f>
        <v xml:space="preserve">   Togo</v>
      </c>
      <c r="C1388">
        <v>750000</v>
      </c>
      <c r="D1388">
        <v>9950</v>
      </c>
    </row>
    <row r="1389" spans="1:4" x14ac:dyDescent="0.25">
      <c r="A1389" t="str">
        <f>T("870120")</f>
        <v>870120</v>
      </c>
      <c r="B1389" t="str">
        <f>T("Tracteurs routiers pour semi-remorques")</f>
        <v>Tracteurs routiers pour semi-remorques</v>
      </c>
    </row>
    <row r="1390" spans="1:4" x14ac:dyDescent="0.25">
      <c r="A1390" t="str">
        <f>T("   ZZZ_Monde")</f>
        <v xml:space="preserve">   ZZZ_Monde</v>
      </c>
      <c r="B1390" t="str">
        <f>T("   ZZZ_Monde")</f>
        <v xml:space="preserve">   ZZZ_Monde</v>
      </c>
      <c r="C1390">
        <v>4913685</v>
      </c>
      <c r="D1390">
        <v>24400</v>
      </c>
    </row>
    <row r="1391" spans="1:4" x14ac:dyDescent="0.25">
      <c r="A1391" t="str">
        <f>T("   BF")</f>
        <v xml:space="preserve">   BF</v>
      </c>
      <c r="B1391" t="str">
        <f>T("   Burkina Faso")</f>
        <v xml:space="preserve">   Burkina Faso</v>
      </c>
      <c r="C1391">
        <v>1113685</v>
      </c>
      <c r="D1391">
        <v>11400</v>
      </c>
    </row>
    <row r="1392" spans="1:4" x14ac:dyDescent="0.25">
      <c r="A1392" t="str">
        <f>T("   TG")</f>
        <v xml:space="preserve">   TG</v>
      </c>
      <c r="B1392" t="str">
        <f>T("   Togo")</f>
        <v xml:space="preserve">   Togo</v>
      </c>
      <c r="C1392">
        <v>3800000</v>
      </c>
      <c r="D1392">
        <v>13000</v>
      </c>
    </row>
    <row r="1393" spans="1:4" x14ac:dyDescent="0.25">
      <c r="A1393" t="str">
        <f>T("870130")</f>
        <v>870130</v>
      </c>
      <c r="B1393" t="str">
        <f>T("Tracteurs à chenilles (sauf motoculteurs à chenille)")</f>
        <v>Tracteurs à chenilles (sauf motoculteurs à chenille)</v>
      </c>
    </row>
    <row r="1394" spans="1:4" x14ac:dyDescent="0.25">
      <c r="A1394" t="str">
        <f>T("   ZZZ_Monde")</f>
        <v xml:space="preserve">   ZZZ_Monde</v>
      </c>
      <c r="B1394" t="str">
        <f>T("   ZZZ_Monde")</f>
        <v xml:space="preserve">   ZZZ_Monde</v>
      </c>
      <c r="C1394">
        <v>68694355</v>
      </c>
      <c r="D1394">
        <v>13192</v>
      </c>
    </row>
    <row r="1395" spans="1:4" x14ac:dyDescent="0.25">
      <c r="A1395" t="str">
        <f>T("   TD")</f>
        <v xml:space="preserve">   TD</v>
      </c>
      <c r="B1395" t="str">
        <f>T("   Tchad")</f>
        <v xml:space="preserve">   Tchad</v>
      </c>
      <c r="C1395">
        <v>68694355</v>
      </c>
      <c r="D1395">
        <v>13192</v>
      </c>
    </row>
    <row r="1396" spans="1:4" x14ac:dyDescent="0.25">
      <c r="A1396" t="str">
        <f>T("870210")</f>
        <v>870210</v>
      </c>
      <c r="B1396" t="s">
        <v>20</v>
      </c>
    </row>
    <row r="1397" spans="1:4" x14ac:dyDescent="0.25">
      <c r="A1397" t="str">
        <f>T("   ZZZ_Monde")</f>
        <v xml:space="preserve">   ZZZ_Monde</v>
      </c>
      <c r="B1397" t="str">
        <f>T("   ZZZ_Monde")</f>
        <v xml:space="preserve">   ZZZ_Monde</v>
      </c>
      <c r="C1397">
        <v>1200000</v>
      </c>
      <c r="D1397">
        <v>1710</v>
      </c>
    </row>
    <row r="1398" spans="1:4" x14ac:dyDescent="0.25">
      <c r="A1398" t="str">
        <f>T("   GA")</f>
        <v xml:space="preserve">   GA</v>
      </c>
      <c r="B1398" t="str">
        <f>T("   Gabon")</f>
        <v xml:space="preserve">   Gabon</v>
      </c>
      <c r="C1398">
        <v>1200000</v>
      </c>
      <c r="D1398">
        <v>1710</v>
      </c>
    </row>
    <row r="1399" spans="1:4" x14ac:dyDescent="0.25">
      <c r="A1399" t="str">
        <f>T("870322")</f>
        <v>870322</v>
      </c>
      <c r="B1399" t="s">
        <v>21</v>
      </c>
    </row>
    <row r="1400" spans="1:4" x14ac:dyDescent="0.25">
      <c r="A1400" t="str">
        <f>T("   ZZZ_Monde")</f>
        <v xml:space="preserve">   ZZZ_Monde</v>
      </c>
      <c r="B1400" t="str">
        <f>T("   ZZZ_Monde")</f>
        <v xml:space="preserve">   ZZZ_Monde</v>
      </c>
      <c r="C1400">
        <v>75718248</v>
      </c>
      <c r="D1400">
        <v>32872</v>
      </c>
    </row>
    <row r="1401" spans="1:4" x14ac:dyDescent="0.25">
      <c r="A1401" t="str">
        <f>T("   AR")</f>
        <v xml:space="preserve">   AR</v>
      </c>
      <c r="B1401" t="str">
        <f>T("   Argentine")</f>
        <v xml:space="preserve">   Argentine</v>
      </c>
      <c r="C1401">
        <v>800000</v>
      </c>
      <c r="D1401">
        <v>1330</v>
      </c>
    </row>
    <row r="1402" spans="1:4" x14ac:dyDescent="0.25">
      <c r="A1402" t="str">
        <f>T("   BE")</f>
        <v xml:space="preserve">   BE</v>
      </c>
      <c r="B1402" t="str">
        <f>T("   Belgique")</f>
        <v xml:space="preserve">   Belgique</v>
      </c>
      <c r="C1402">
        <v>1755386</v>
      </c>
      <c r="D1402">
        <v>1330</v>
      </c>
    </row>
    <row r="1403" spans="1:4" x14ac:dyDescent="0.25">
      <c r="A1403" t="str">
        <f>T("   CG")</f>
        <v xml:space="preserve">   CG</v>
      </c>
      <c r="B1403" t="str">
        <f>T("   Congo (Brazzaville)")</f>
        <v xml:space="preserve">   Congo (Brazzaville)</v>
      </c>
      <c r="C1403">
        <v>3798891</v>
      </c>
      <c r="D1403">
        <v>2155</v>
      </c>
    </row>
    <row r="1404" spans="1:4" x14ac:dyDescent="0.25">
      <c r="A1404" t="str">
        <f>T("   CM")</f>
        <v xml:space="preserve">   CM</v>
      </c>
      <c r="B1404" t="str">
        <f>T("   Cameroun")</f>
        <v xml:space="preserve">   Cameroun</v>
      </c>
      <c r="C1404">
        <v>7554669</v>
      </c>
      <c r="D1404">
        <v>7142</v>
      </c>
    </row>
    <row r="1405" spans="1:4" x14ac:dyDescent="0.25">
      <c r="A1405" t="str">
        <f>T("   GA")</f>
        <v xml:space="preserve">   GA</v>
      </c>
      <c r="B1405" t="str">
        <f>T("   Gabon")</f>
        <v xml:space="preserve">   Gabon</v>
      </c>
      <c r="C1405">
        <v>1200000</v>
      </c>
      <c r="D1405">
        <v>800</v>
      </c>
    </row>
    <row r="1406" spans="1:4" x14ac:dyDescent="0.25">
      <c r="A1406" t="str">
        <f>T("   GQ")</f>
        <v xml:space="preserve">   GQ</v>
      </c>
      <c r="B1406" t="str">
        <f>T("   Guinée Equatoriale")</f>
        <v xml:space="preserve">   Guinée Equatoriale</v>
      </c>
      <c r="C1406">
        <v>23695945</v>
      </c>
      <c r="D1406">
        <v>6210</v>
      </c>
    </row>
    <row r="1407" spans="1:4" x14ac:dyDescent="0.25">
      <c r="A1407" t="str">
        <f>T("   MA")</f>
        <v xml:space="preserve">   MA</v>
      </c>
      <c r="B1407" t="str">
        <f>T("   Maroc")</f>
        <v xml:space="preserve">   Maroc</v>
      </c>
      <c r="C1407">
        <v>4713341</v>
      </c>
      <c r="D1407">
        <v>3330</v>
      </c>
    </row>
    <row r="1408" spans="1:4" x14ac:dyDescent="0.25">
      <c r="A1408" t="str">
        <f>T("   NE")</f>
        <v xml:space="preserve">   NE</v>
      </c>
      <c r="B1408" t="str">
        <f>T("   Niger")</f>
        <v xml:space="preserve">   Niger</v>
      </c>
      <c r="C1408">
        <v>1200000</v>
      </c>
      <c r="D1408">
        <v>1450</v>
      </c>
    </row>
    <row r="1409" spans="1:4" x14ac:dyDescent="0.25">
      <c r="A1409" t="str">
        <f>T("   SN")</f>
        <v xml:space="preserve">   SN</v>
      </c>
      <c r="B1409" t="str">
        <f>T("   Sénégal")</f>
        <v xml:space="preserve">   Sénégal</v>
      </c>
      <c r="C1409">
        <v>24185755</v>
      </c>
      <c r="D1409">
        <v>6340</v>
      </c>
    </row>
    <row r="1410" spans="1:4" x14ac:dyDescent="0.25">
      <c r="A1410" t="str">
        <f>T("   TG")</f>
        <v xml:space="preserve">   TG</v>
      </c>
      <c r="B1410" t="str">
        <f>T("   Togo")</f>
        <v xml:space="preserve">   Togo</v>
      </c>
      <c r="C1410">
        <v>2584482</v>
      </c>
      <c r="D1410">
        <v>1285</v>
      </c>
    </row>
    <row r="1411" spans="1:4" x14ac:dyDescent="0.25">
      <c r="A1411" t="str">
        <f>T("   US")</f>
        <v xml:space="preserve">   US</v>
      </c>
      <c r="B1411" t="str">
        <f>T("   Etats-Unis")</f>
        <v xml:space="preserve">   Etats-Unis</v>
      </c>
      <c r="C1411">
        <v>4229779</v>
      </c>
      <c r="D1411">
        <v>1500</v>
      </c>
    </row>
    <row r="1412" spans="1:4" x14ac:dyDescent="0.25">
      <c r="A1412" t="str">
        <f>T("870323")</f>
        <v>870323</v>
      </c>
      <c r="B1412" t="s">
        <v>22</v>
      </c>
    </row>
    <row r="1413" spans="1:4" x14ac:dyDescent="0.25">
      <c r="A1413" t="str">
        <f>T("   ZZZ_Monde")</f>
        <v xml:space="preserve">   ZZZ_Monde</v>
      </c>
      <c r="B1413" t="str">
        <f>T("   ZZZ_Monde")</f>
        <v xml:space="preserve">   ZZZ_Monde</v>
      </c>
      <c r="C1413">
        <v>295806939</v>
      </c>
      <c r="D1413">
        <v>68597</v>
      </c>
    </row>
    <row r="1414" spans="1:4" x14ac:dyDescent="0.25">
      <c r="A1414" t="str">
        <f>T("   BE")</f>
        <v xml:space="preserve">   BE</v>
      </c>
      <c r="B1414" t="str">
        <f>T("   Belgique")</f>
        <v xml:space="preserve">   Belgique</v>
      </c>
      <c r="C1414">
        <v>11005267</v>
      </c>
      <c r="D1414">
        <v>3086</v>
      </c>
    </row>
    <row r="1415" spans="1:4" x14ac:dyDescent="0.25">
      <c r="A1415" t="str">
        <f>T("   BF")</f>
        <v xml:space="preserve">   BF</v>
      </c>
      <c r="B1415" t="str">
        <f>T("   Burkina Faso")</f>
        <v xml:space="preserve">   Burkina Faso</v>
      </c>
      <c r="C1415">
        <v>3293957</v>
      </c>
      <c r="D1415">
        <v>1451</v>
      </c>
    </row>
    <row r="1416" spans="1:4" x14ac:dyDescent="0.25">
      <c r="A1416" t="str">
        <f>T("   BI")</f>
        <v xml:space="preserve">   BI</v>
      </c>
      <c r="B1416" t="str">
        <f>T("   Burundi")</f>
        <v xml:space="preserve">   Burundi</v>
      </c>
      <c r="C1416">
        <v>1233205</v>
      </c>
      <c r="D1416">
        <v>2366</v>
      </c>
    </row>
    <row r="1417" spans="1:4" x14ac:dyDescent="0.25">
      <c r="A1417" t="str">
        <f>T("   CD")</f>
        <v xml:space="preserve">   CD</v>
      </c>
      <c r="B1417" t="str">
        <f>T("   Congo, République Démocratique")</f>
        <v xml:space="preserve">   Congo, République Démocratique</v>
      </c>
      <c r="C1417">
        <v>9745824</v>
      </c>
      <c r="D1417">
        <v>2400</v>
      </c>
    </row>
    <row r="1418" spans="1:4" x14ac:dyDescent="0.25">
      <c r="A1418" t="str">
        <f>T("   CG")</f>
        <v xml:space="preserve">   CG</v>
      </c>
      <c r="B1418" t="str">
        <f>T("   Congo (Brazzaville)")</f>
        <v xml:space="preserve">   Congo (Brazzaville)</v>
      </c>
      <c r="C1418">
        <v>27137972</v>
      </c>
      <c r="D1418">
        <v>3070</v>
      </c>
    </row>
    <row r="1419" spans="1:4" x14ac:dyDescent="0.25">
      <c r="A1419" t="str">
        <f>T("   CM")</f>
        <v xml:space="preserve">   CM</v>
      </c>
      <c r="B1419" t="str">
        <f>T("   Cameroun")</f>
        <v xml:space="preserve">   Cameroun</v>
      </c>
      <c r="C1419">
        <v>5009386</v>
      </c>
      <c r="D1419">
        <v>3875</v>
      </c>
    </row>
    <row r="1420" spans="1:4" x14ac:dyDescent="0.25">
      <c r="A1420" t="str">
        <f>T("   ES")</f>
        <v xml:space="preserve">   ES</v>
      </c>
      <c r="B1420" t="str">
        <f>T("   Espagne")</f>
        <v xml:space="preserve">   Espagne</v>
      </c>
      <c r="C1420">
        <v>14759100</v>
      </c>
      <c r="D1420">
        <v>1995</v>
      </c>
    </row>
    <row r="1421" spans="1:4" x14ac:dyDescent="0.25">
      <c r="A1421" t="str">
        <f>T("   FR")</f>
        <v xml:space="preserve">   FR</v>
      </c>
      <c r="B1421" t="str">
        <f>T("   France")</f>
        <v xml:space="preserve">   France</v>
      </c>
      <c r="C1421">
        <v>21873142</v>
      </c>
      <c r="D1421">
        <v>9160</v>
      </c>
    </row>
    <row r="1422" spans="1:4" x14ac:dyDescent="0.25">
      <c r="A1422" t="str">
        <f>T("   GA")</f>
        <v xml:space="preserve">   GA</v>
      </c>
      <c r="B1422" t="str">
        <f>T("   Gabon")</f>
        <v xml:space="preserve">   Gabon</v>
      </c>
      <c r="C1422">
        <v>4146998</v>
      </c>
      <c r="D1422">
        <v>3434</v>
      </c>
    </row>
    <row r="1423" spans="1:4" x14ac:dyDescent="0.25">
      <c r="A1423" t="str">
        <f>T("   GQ")</f>
        <v xml:space="preserve">   GQ</v>
      </c>
      <c r="B1423" t="str">
        <f>T("   Guinée Equatoriale")</f>
        <v xml:space="preserve">   Guinée Equatoriale</v>
      </c>
      <c r="C1423">
        <v>32941746</v>
      </c>
      <c r="D1423">
        <v>6245</v>
      </c>
    </row>
    <row r="1424" spans="1:4" x14ac:dyDescent="0.25">
      <c r="A1424" t="str">
        <f>T("   KR")</f>
        <v xml:space="preserve">   KR</v>
      </c>
      <c r="B1424" t="str">
        <f>T("   Corée, République de")</f>
        <v xml:space="preserve">   Corée, République de</v>
      </c>
      <c r="C1424">
        <v>8060883</v>
      </c>
      <c r="D1424">
        <v>1307</v>
      </c>
    </row>
    <row r="1425" spans="1:4" x14ac:dyDescent="0.25">
      <c r="A1425" t="str">
        <f>T("   LB")</f>
        <v xml:space="preserve">   LB</v>
      </c>
      <c r="B1425" t="str">
        <f>T("   Liban")</f>
        <v xml:space="preserve">   Liban</v>
      </c>
      <c r="C1425">
        <v>62063452</v>
      </c>
      <c r="D1425">
        <v>2680</v>
      </c>
    </row>
    <row r="1426" spans="1:4" x14ac:dyDescent="0.25">
      <c r="A1426" t="str">
        <f>T("   MA")</f>
        <v xml:space="preserve">   MA</v>
      </c>
      <c r="B1426" t="str">
        <f>T("   Maroc")</f>
        <v xml:space="preserve">   Maroc</v>
      </c>
      <c r="C1426">
        <v>18535688</v>
      </c>
      <c r="D1426">
        <v>1230</v>
      </c>
    </row>
    <row r="1427" spans="1:4" x14ac:dyDescent="0.25">
      <c r="A1427" t="str">
        <f>T("   MZ")</f>
        <v xml:space="preserve">   MZ</v>
      </c>
      <c r="B1427" t="str">
        <f>T("   Mozambique")</f>
        <v xml:space="preserve">   Mozambique</v>
      </c>
      <c r="C1427">
        <v>4071770</v>
      </c>
      <c r="D1427">
        <v>1330</v>
      </c>
    </row>
    <row r="1428" spans="1:4" x14ac:dyDescent="0.25">
      <c r="A1428" t="str">
        <f>T("   NE")</f>
        <v xml:space="preserve">   NE</v>
      </c>
      <c r="B1428" t="str">
        <f>T("   Niger")</f>
        <v xml:space="preserve">   Niger</v>
      </c>
      <c r="C1428">
        <v>15982515</v>
      </c>
      <c r="D1428">
        <v>7330</v>
      </c>
    </row>
    <row r="1429" spans="1:4" x14ac:dyDescent="0.25">
      <c r="A1429" t="str">
        <f>T("   RW")</f>
        <v xml:space="preserve">   RW</v>
      </c>
      <c r="B1429" t="str">
        <f>T("   Rwanda")</f>
        <v xml:space="preserve">   Rwanda</v>
      </c>
      <c r="C1429">
        <v>7014203</v>
      </c>
      <c r="D1429">
        <v>3320</v>
      </c>
    </row>
    <row r="1430" spans="1:4" x14ac:dyDescent="0.25">
      <c r="A1430" t="str">
        <f>T("   SN")</f>
        <v xml:space="preserve">   SN</v>
      </c>
      <c r="B1430" t="str">
        <f>T("   Sénégal")</f>
        <v xml:space="preserve">   Sénégal</v>
      </c>
      <c r="C1430">
        <v>3561000</v>
      </c>
      <c r="D1430">
        <v>1860</v>
      </c>
    </row>
    <row r="1431" spans="1:4" x14ac:dyDescent="0.25">
      <c r="A1431" t="str">
        <f>T("   TG")</f>
        <v xml:space="preserve">   TG</v>
      </c>
      <c r="B1431" t="str">
        <f>T("   Togo")</f>
        <v xml:space="preserve">   Togo</v>
      </c>
      <c r="C1431">
        <v>28365679</v>
      </c>
      <c r="D1431">
        <v>5204</v>
      </c>
    </row>
    <row r="1432" spans="1:4" x14ac:dyDescent="0.25">
      <c r="A1432" t="str">
        <f>T("   UG")</f>
        <v xml:space="preserve">   UG</v>
      </c>
      <c r="B1432" t="str">
        <f>T("   Ouganda")</f>
        <v xml:space="preserve">   Ouganda</v>
      </c>
      <c r="C1432">
        <v>10692148</v>
      </c>
      <c r="D1432">
        <v>2074</v>
      </c>
    </row>
    <row r="1433" spans="1:4" x14ac:dyDescent="0.25">
      <c r="A1433" t="str">
        <f>T("   US")</f>
        <v xml:space="preserve">   US</v>
      </c>
      <c r="B1433" t="str">
        <f>T("   Etats-Unis")</f>
        <v xml:space="preserve">   Etats-Unis</v>
      </c>
      <c r="C1433">
        <v>1200000</v>
      </c>
      <c r="D1433">
        <v>1430</v>
      </c>
    </row>
    <row r="1434" spans="1:4" x14ac:dyDescent="0.25">
      <c r="A1434" t="str">
        <f>T("   ZA")</f>
        <v xml:space="preserve">   ZA</v>
      </c>
      <c r="B1434" t="str">
        <f>T("   Afrique du Sud")</f>
        <v xml:space="preserve">   Afrique du Sud</v>
      </c>
      <c r="C1434">
        <v>5113004</v>
      </c>
      <c r="D1434">
        <v>3750</v>
      </c>
    </row>
    <row r="1435" spans="1:4" x14ac:dyDescent="0.25">
      <c r="A1435" t="str">
        <f>T("870324")</f>
        <v>870324</v>
      </c>
      <c r="B1435" t="s">
        <v>23</v>
      </c>
    </row>
    <row r="1436" spans="1:4" x14ac:dyDescent="0.25">
      <c r="A1436" t="str">
        <f>T("   ZZZ_Monde")</f>
        <v xml:space="preserve">   ZZZ_Monde</v>
      </c>
      <c r="B1436" t="str">
        <f>T("   ZZZ_Monde")</f>
        <v xml:space="preserve">   ZZZ_Monde</v>
      </c>
      <c r="C1436">
        <v>25664973</v>
      </c>
      <c r="D1436">
        <v>7140</v>
      </c>
    </row>
    <row r="1437" spans="1:4" x14ac:dyDescent="0.25">
      <c r="A1437" t="str">
        <f>T("   CM")</f>
        <v xml:space="preserve">   CM</v>
      </c>
      <c r="B1437" t="str">
        <f>T("   Cameroun")</f>
        <v xml:space="preserve">   Cameroun</v>
      </c>
      <c r="C1437">
        <v>3013933</v>
      </c>
      <c r="D1437">
        <v>1240</v>
      </c>
    </row>
    <row r="1438" spans="1:4" x14ac:dyDescent="0.25">
      <c r="A1438" t="str">
        <f>T("   MA")</f>
        <v xml:space="preserve">   MA</v>
      </c>
      <c r="B1438" t="str">
        <f>T("   Maroc")</f>
        <v xml:space="preserve">   Maroc</v>
      </c>
      <c r="C1438">
        <v>6635196</v>
      </c>
      <c r="D1438">
        <v>2435</v>
      </c>
    </row>
    <row r="1439" spans="1:4" x14ac:dyDescent="0.25">
      <c r="A1439" t="str">
        <f>T("   RW")</f>
        <v xml:space="preserve">   RW</v>
      </c>
      <c r="B1439" t="str">
        <f>T("   Rwanda")</f>
        <v xml:space="preserve">   Rwanda</v>
      </c>
      <c r="C1439">
        <v>3158244</v>
      </c>
      <c r="D1439">
        <v>1475</v>
      </c>
    </row>
    <row r="1440" spans="1:4" x14ac:dyDescent="0.25">
      <c r="A1440" t="str">
        <f>T("   TN")</f>
        <v xml:space="preserve">   TN</v>
      </c>
      <c r="B1440" t="str">
        <f>T("   Tunisie")</f>
        <v xml:space="preserve">   Tunisie</v>
      </c>
      <c r="C1440">
        <v>12857600</v>
      </c>
      <c r="D1440">
        <v>1990</v>
      </c>
    </row>
    <row r="1441" spans="1:4" x14ac:dyDescent="0.25">
      <c r="A1441" t="str">
        <f>T("870331")</f>
        <v>870331</v>
      </c>
      <c r="B1441" t="s">
        <v>24</v>
      </c>
    </row>
    <row r="1442" spans="1:4" x14ac:dyDescent="0.25">
      <c r="A1442" t="str">
        <f>T("   ZZZ_Monde")</f>
        <v xml:space="preserve">   ZZZ_Monde</v>
      </c>
      <c r="B1442" t="str">
        <f>T("   ZZZ_Monde")</f>
        <v xml:space="preserve">   ZZZ_Monde</v>
      </c>
      <c r="C1442">
        <v>4096483</v>
      </c>
      <c r="D1442">
        <v>1880</v>
      </c>
    </row>
    <row r="1443" spans="1:4" x14ac:dyDescent="0.25">
      <c r="A1443" t="str">
        <f>T("   AL")</f>
        <v xml:space="preserve">   AL</v>
      </c>
      <c r="B1443" t="str">
        <f>T("   Albanie")</f>
        <v xml:space="preserve">   Albanie</v>
      </c>
      <c r="C1443">
        <v>4096483</v>
      </c>
      <c r="D1443">
        <v>1880</v>
      </c>
    </row>
    <row r="1444" spans="1:4" x14ac:dyDescent="0.25">
      <c r="A1444" t="str">
        <f>T("870333")</f>
        <v>870333</v>
      </c>
      <c r="B1444" t="s">
        <v>25</v>
      </c>
    </row>
    <row r="1445" spans="1:4" x14ac:dyDescent="0.25">
      <c r="A1445" t="str">
        <f>T("   ZZZ_Monde")</f>
        <v xml:space="preserve">   ZZZ_Monde</v>
      </c>
      <c r="B1445" t="str">
        <f>T("   ZZZ_Monde")</f>
        <v xml:space="preserve">   ZZZ_Monde</v>
      </c>
      <c r="C1445">
        <v>18143854</v>
      </c>
      <c r="D1445">
        <v>3580</v>
      </c>
    </row>
    <row r="1446" spans="1:4" x14ac:dyDescent="0.25">
      <c r="A1446" t="str">
        <f>T("   TG")</f>
        <v xml:space="preserve">   TG</v>
      </c>
      <c r="B1446" t="str">
        <f>T("   Togo")</f>
        <v xml:space="preserve">   Togo</v>
      </c>
      <c r="C1446">
        <v>18143854</v>
      </c>
      <c r="D1446">
        <v>3580</v>
      </c>
    </row>
    <row r="1447" spans="1:4" x14ac:dyDescent="0.25">
      <c r="A1447" t="str">
        <f>T("870410")</f>
        <v>870410</v>
      </c>
      <c r="B1447" t="str">
        <f>T("Tombereaux automoteurs utilisés en dehors du réseau routier")</f>
        <v>Tombereaux automoteurs utilisés en dehors du réseau routier</v>
      </c>
    </row>
    <row r="1448" spans="1:4" x14ac:dyDescent="0.25">
      <c r="A1448" t="str">
        <f>T("   ZZZ_Monde")</f>
        <v xml:space="preserve">   ZZZ_Monde</v>
      </c>
      <c r="B1448" t="str">
        <f>T("   ZZZ_Monde")</f>
        <v xml:space="preserve">   ZZZ_Monde</v>
      </c>
      <c r="C1448">
        <v>555533910</v>
      </c>
      <c r="D1448">
        <v>174880</v>
      </c>
    </row>
    <row r="1449" spans="1:4" x14ac:dyDescent="0.25">
      <c r="A1449" t="str">
        <f>T("   GQ")</f>
        <v xml:space="preserve">   GQ</v>
      </c>
      <c r="B1449" t="str">
        <f>T("   Guinée Equatoriale")</f>
        <v xml:space="preserve">   Guinée Equatoriale</v>
      </c>
      <c r="C1449">
        <v>555533910</v>
      </c>
      <c r="D1449">
        <v>174880</v>
      </c>
    </row>
    <row r="1450" spans="1:4" x14ac:dyDescent="0.25">
      <c r="A1450" t="str">
        <f>T("870421")</f>
        <v>870421</v>
      </c>
      <c r="B1450" t="s">
        <v>26</v>
      </c>
    </row>
    <row r="1451" spans="1:4" x14ac:dyDescent="0.25">
      <c r="A1451" t="str">
        <f>T("   ZZZ_Monde")</f>
        <v xml:space="preserve">   ZZZ_Monde</v>
      </c>
      <c r="B1451" t="str">
        <f>T("   ZZZ_Monde")</f>
        <v xml:space="preserve">   ZZZ_Monde</v>
      </c>
      <c r="C1451">
        <v>37825696</v>
      </c>
      <c r="D1451">
        <v>15030</v>
      </c>
    </row>
    <row r="1452" spans="1:4" x14ac:dyDescent="0.25">
      <c r="A1452" t="str">
        <f>T("   BF")</f>
        <v xml:space="preserve">   BF</v>
      </c>
      <c r="B1452" t="str">
        <f>T("   Burkina Faso")</f>
        <v xml:space="preserve">   Burkina Faso</v>
      </c>
      <c r="C1452">
        <v>25431841</v>
      </c>
      <c r="D1452">
        <v>11320</v>
      </c>
    </row>
    <row r="1453" spans="1:4" x14ac:dyDescent="0.25">
      <c r="A1453" t="str">
        <f>T("   FR")</f>
        <v xml:space="preserve">   FR</v>
      </c>
      <c r="B1453" t="str">
        <f>T("   France")</f>
        <v xml:space="preserve">   France</v>
      </c>
      <c r="C1453">
        <v>2805032</v>
      </c>
      <c r="D1453">
        <v>1930</v>
      </c>
    </row>
    <row r="1454" spans="1:4" x14ac:dyDescent="0.25">
      <c r="A1454" t="str">
        <f>T("   TG")</f>
        <v xml:space="preserve">   TG</v>
      </c>
      <c r="B1454" t="str">
        <f>T("   Togo")</f>
        <v xml:space="preserve">   Togo</v>
      </c>
      <c r="C1454">
        <v>9588823</v>
      </c>
      <c r="D1454">
        <v>1780</v>
      </c>
    </row>
    <row r="1455" spans="1:4" x14ac:dyDescent="0.25">
      <c r="A1455" t="str">
        <f>T("870422")</f>
        <v>870422</v>
      </c>
      <c r="B1455" t="s">
        <v>27</v>
      </c>
    </row>
    <row r="1456" spans="1:4" x14ac:dyDescent="0.25">
      <c r="A1456" t="str">
        <f>T("   ZZZ_Monde")</f>
        <v xml:space="preserve">   ZZZ_Monde</v>
      </c>
      <c r="B1456" t="str">
        <f>T("   ZZZ_Monde")</f>
        <v xml:space="preserve">   ZZZ_Monde</v>
      </c>
      <c r="C1456">
        <v>1525019235</v>
      </c>
      <c r="D1456">
        <v>625840</v>
      </c>
    </row>
    <row r="1457" spans="1:4" x14ac:dyDescent="0.25">
      <c r="A1457" t="str">
        <f>T("   BF")</f>
        <v xml:space="preserve">   BF</v>
      </c>
      <c r="B1457" t="str">
        <f>T("   Burkina Faso")</f>
        <v xml:space="preserve">   Burkina Faso</v>
      </c>
      <c r="C1457">
        <v>149333504</v>
      </c>
      <c r="D1457">
        <v>97900</v>
      </c>
    </row>
    <row r="1458" spans="1:4" x14ac:dyDescent="0.25">
      <c r="A1458" t="str">
        <f>T("   CF")</f>
        <v xml:space="preserve">   CF</v>
      </c>
      <c r="B1458" t="str">
        <f>T("   Centrafricaine, République")</f>
        <v xml:space="preserve">   Centrafricaine, République</v>
      </c>
      <c r="C1458">
        <v>93646160</v>
      </c>
      <c r="D1458">
        <v>39600</v>
      </c>
    </row>
    <row r="1459" spans="1:4" x14ac:dyDescent="0.25">
      <c r="A1459" t="str">
        <f>T("   CN")</f>
        <v xml:space="preserve">   CN</v>
      </c>
      <c r="B1459" t="str">
        <f>T("   Chine")</f>
        <v xml:space="preserve">   Chine</v>
      </c>
      <c r="C1459">
        <v>9609260</v>
      </c>
      <c r="D1459">
        <v>19000</v>
      </c>
    </row>
    <row r="1460" spans="1:4" x14ac:dyDescent="0.25">
      <c r="A1460" t="str">
        <f>T("   GA")</f>
        <v xml:space="preserve">   GA</v>
      </c>
      <c r="B1460" t="str">
        <f>T("   Gabon")</f>
        <v xml:space="preserve">   Gabon</v>
      </c>
      <c r="C1460">
        <v>2247975</v>
      </c>
      <c r="D1460">
        <v>7600</v>
      </c>
    </row>
    <row r="1461" spans="1:4" x14ac:dyDescent="0.25">
      <c r="A1461" t="str">
        <f>T("   GQ")</f>
        <v xml:space="preserve">   GQ</v>
      </c>
      <c r="B1461" t="str">
        <f>T("   Guinée Equatoriale")</f>
        <v xml:space="preserve">   Guinée Equatoriale</v>
      </c>
      <c r="C1461">
        <v>677725398</v>
      </c>
      <c r="D1461">
        <v>212000</v>
      </c>
    </row>
    <row r="1462" spans="1:4" x14ac:dyDescent="0.25">
      <c r="A1462" t="str">
        <f>T("   ML")</f>
        <v xml:space="preserve">   ML</v>
      </c>
      <c r="B1462" t="str">
        <f>T("   Mali")</f>
        <v xml:space="preserve">   Mali</v>
      </c>
      <c r="C1462">
        <v>93646160</v>
      </c>
      <c r="D1462">
        <v>39600</v>
      </c>
    </row>
    <row r="1463" spans="1:4" x14ac:dyDescent="0.25">
      <c r="A1463" t="str">
        <f>T("   TD")</f>
        <v xml:space="preserve">   TD</v>
      </c>
      <c r="B1463" t="str">
        <f>T("   Tchad")</f>
        <v xml:space="preserve">   Tchad</v>
      </c>
      <c r="C1463">
        <v>187292320</v>
      </c>
      <c r="D1463">
        <v>79200</v>
      </c>
    </row>
    <row r="1464" spans="1:4" x14ac:dyDescent="0.25">
      <c r="A1464" t="str">
        <f>T("   TG")</f>
        <v xml:space="preserve">   TG</v>
      </c>
      <c r="B1464" t="str">
        <f>T("   Togo")</f>
        <v xml:space="preserve">   Togo</v>
      </c>
      <c r="C1464">
        <v>311518458</v>
      </c>
      <c r="D1464">
        <v>130940</v>
      </c>
    </row>
    <row r="1465" spans="1:4" x14ac:dyDescent="0.25">
      <c r="A1465" t="str">
        <f>T("870423")</f>
        <v>870423</v>
      </c>
      <c r="B1465" t="s">
        <v>28</v>
      </c>
    </row>
    <row r="1466" spans="1:4" x14ac:dyDescent="0.25">
      <c r="A1466" t="str">
        <f>T("   ZZZ_Monde")</f>
        <v xml:space="preserve">   ZZZ_Monde</v>
      </c>
      <c r="B1466" t="str">
        <f>T("   ZZZ_Monde")</f>
        <v xml:space="preserve">   ZZZ_Monde</v>
      </c>
      <c r="C1466">
        <v>2876385</v>
      </c>
      <c r="D1466">
        <v>23450</v>
      </c>
    </row>
    <row r="1467" spans="1:4" x14ac:dyDescent="0.25">
      <c r="A1467" t="str">
        <f>T("   GA")</f>
        <v xml:space="preserve">   GA</v>
      </c>
      <c r="B1467" t="str">
        <f>T("   Gabon")</f>
        <v xml:space="preserve">   Gabon</v>
      </c>
      <c r="C1467">
        <v>2876385</v>
      </c>
      <c r="D1467">
        <v>23450</v>
      </c>
    </row>
    <row r="1468" spans="1:4" x14ac:dyDescent="0.25">
      <c r="A1468" t="str">
        <f>T("870431")</f>
        <v>870431</v>
      </c>
      <c r="B1468" t="s">
        <v>29</v>
      </c>
    </row>
    <row r="1469" spans="1:4" x14ac:dyDescent="0.25">
      <c r="A1469" t="str">
        <f>T("   ZZZ_Monde")</f>
        <v xml:space="preserve">   ZZZ_Monde</v>
      </c>
      <c r="B1469" t="str">
        <f>T("   ZZZ_Monde")</f>
        <v xml:space="preserve">   ZZZ_Monde</v>
      </c>
      <c r="C1469">
        <v>5089806</v>
      </c>
      <c r="D1469">
        <v>1824</v>
      </c>
    </row>
    <row r="1470" spans="1:4" x14ac:dyDescent="0.25">
      <c r="A1470" t="str">
        <f>T("   NE")</f>
        <v xml:space="preserve">   NE</v>
      </c>
      <c r="B1470" t="str">
        <f>T("   Niger")</f>
        <v xml:space="preserve">   Niger</v>
      </c>
      <c r="C1470">
        <v>5089806</v>
      </c>
      <c r="D1470">
        <v>1824</v>
      </c>
    </row>
    <row r="1471" spans="1:4" x14ac:dyDescent="0.25">
      <c r="A1471" t="str">
        <f>T("870510")</f>
        <v>870510</v>
      </c>
      <c r="B1471" t="str">
        <f>T("Camions-grues (sauf dépanneuses)")</f>
        <v>Camions-grues (sauf dépanneuses)</v>
      </c>
    </row>
    <row r="1472" spans="1:4" x14ac:dyDescent="0.25">
      <c r="A1472" t="str">
        <f>T("   ZZZ_Monde")</f>
        <v xml:space="preserve">   ZZZ_Monde</v>
      </c>
      <c r="B1472" t="str">
        <f>T("   ZZZ_Monde")</f>
        <v xml:space="preserve">   ZZZ_Monde</v>
      </c>
      <c r="C1472">
        <v>7920000</v>
      </c>
      <c r="D1472">
        <v>450</v>
      </c>
    </row>
    <row r="1473" spans="1:4" x14ac:dyDescent="0.25">
      <c r="A1473" t="str">
        <f>T("   BF")</f>
        <v xml:space="preserve">   BF</v>
      </c>
      <c r="B1473" t="str">
        <f>T("   Burkina Faso")</f>
        <v xml:space="preserve">   Burkina Faso</v>
      </c>
      <c r="C1473">
        <v>7920000</v>
      </c>
      <c r="D1473">
        <v>450</v>
      </c>
    </row>
    <row r="1474" spans="1:4" x14ac:dyDescent="0.25">
      <c r="A1474" t="str">
        <f>T("870520")</f>
        <v>870520</v>
      </c>
      <c r="B1474" t="str">
        <f>T("Derricks automobiles pour le sondage ou le forage")</f>
        <v>Derricks automobiles pour le sondage ou le forage</v>
      </c>
    </row>
    <row r="1475" spans="1:4" x14ac:dyDescent="0.25">
      <c r="A1475" t="str">
        <f>T("   ZZZ_Monde")</f>
        <v xml:space="preserve">   ZZZ_Monde</v>
      </c>
      <c r="B1475" t="str">
        <f>T("   ZZZ_Monde")</f>
        <v xml:space="preserve">   ZZZ_Monde</v>
      </c>
      <c r="C1475">
        <v>92226350</v>
      </c>
      <c r="D1475">
        <v>21000</v>
      </c>
    </row>
    <row r="1476" spans="1:4" x14ac:dyDescent="0.25">
      <c r="A1476" t="str">
        <f>T("   SN")</f>
        <v xml:space="preserve">   SN</v>
      </c>
      <c r="B1476" t="str">
        <f>T("   Sénégal")</f>
        <v xml:space="preserve">   Sénégal</v>
      </c>
      <c r="C1476">
        <v>92226350</v>
      </c>
      <c r="D1476">
        <v>21000</v>
      </c>
    </row>
    <row r="1477" spans="1:4" x14ac:dyDescent="0.25">
      <c r="A1477" t="str">
        <f>T("870590")</f>
        <v>870590</v>
      </c>
      <c r="B1477" t="str">
        <f>T("Véhicules automobiles à usages spéciaux (autres que ceux principalement conçus pour le transport de personnes ou de marchandises et sauf camions-béonnières, voitures de lutte contre l'incendie, derricks automobiles pour le sondage ou le forage, camions-gr")</f>
        <v>Véhicules automobiles à usages spéciaux (autres que ceux principalement conçus pour le transport de personnes ou de marchandises et sauf camions-béonnières, voitures de lutte contre l'incendie, derricks automobiles pour le sondage ou le forage, camions-gr</v>
      </c>
    </row>
    <row r="1478" spans="1:4" x14ac:dyDescent="0.25">
      <c r="A1478" t="str">
        <f>T("   ZZZ_Monde")</f>
        <v xml:space="preserve">   ZZZ_Monde</v>
      </c>
      <c r="B1478" t="str">
        <f>T("   ZZZ_Monde")</f>
        <v xml:space="preserve">   ZZZ_Monde</v>
      </c>
      <c r="C1478">
        <v>19838340</v>
      </c>
      <c r="D1478">
        <v>21894</v>
      </c>
    </row>
    <row r="1479" spans="1:4" x14ac:dyDescent="0.25">
      <c r="A1479" t="str">
        <f>T("   TG")</f>
        <v xml:space="preserve">   TG</v>
      </c>
      <c r="B1479" t="str">
        <f>T("   Togo")</f>
        <v xml:space="preserve">   Togo</v>
      </c>
      <c r="C1479">
        <v>19838340</v>
      </c>
      <c r="D1479">
        <v>21894</v>
      </c>
    </row>
    <row r="1480" spans="1:4" x14ac:dyDescent="0.25">
      <c r="A1480" t="str">
        <f>T("870790")</f>
        <v>870790</v>
      </c>
      <c r="B1480" t="str">
        <f>T("CARROSSERIES DE TRACTEURS, VÉHICULES POUR LE TRANSPORT DE &gt;= 10 PERSONNES, CHAUFFEUR INCLUS, VÉHICULES POUR LE TRANSPORT DE MARCHANDISES ET VÉHICULES À USAGES SPÉCIAUX")</f>
        <v>CARROSSERIES DE TRACTEURS, VÉHICULES POUR LE TRANSPORT DE &gt;= 10 PERSONNES, CHAUFFEUR INCLUS, VÉHICULES POUR LE TRANSPORT DE MARCHANDISES ET VÉHICULES À USAGES SPÉCIAUX</v>
      </c>
    </row>
    <row r="1481" spans="1:4" x14ac:dyDescent="0.25">
      <c r="A1481" t="str">
        <f>T("   ZZZ_Monde")</f>
        <v xml:space="preserve">   ZZZ_Monde</v>
      </c>
      <c r="B1481" t="str">
        <f>T("   ZZZ_Monde")</f>
        <v xml:space="preserve">   ZZZ_Monde</v>
      </c>
      <c r="C1481">
        <v>140000</v>
      </c>
      <c r="D1481">
        <v>150</v>
      </c>
    </row>
    <row r="1482" spans="1:4" x14ac:dyDescent="0.25">
      <c r="A1482" t="str">
        <f>T("   GQ")</f>
        <v xml:space="preserve">   GQ</v>
      </c>
      <c r="B1482" t="str">
        <f>T("   Guinée Equatoriale")</f>
        <v xml:space="preserve">   Guinée Equatoriale</v>
      </c>
      <c r="C1482">
        <v>140000</v>
      </c>
      <c r="D1482">
        <v>150</v>
      </c>
    </row>
    <row r="1483" spans="1:4" x14ac:dyDescent="0.25">
      <c r="A1483" t="str">
        <f>T("870892")</f>
        <v>870892</v>
      </c>
      <c r="B1483" t="str">
        <f>T("SILENCIEUX ET TUYAUX D'ÉCHAPPEMENT AINSI QUE LEURS PARTIES, POUR TRACTEURS, VÉHICULES POUR LE TRANSPORT DE &gt;= 10 PERSONNES, CHAUFFEUR INCLUS, VOITURES DE TOURISME, VÉHICULES POUR LE TRANSPORT DE MARCHANDISES ET VÉHICULES À USAGES SPÉCIAUX, N.D.A.")</f>
        <v>SILENCIEUX ET TUYAUX D'ÉCHAPPEMENT AINSI QUE LEURS PARTIES, POUR TRACTEURS, VÉHICULES POUR LE TRANSPORT DE &gt;= 10 PERSONNES, CHAUFFEUR INCLUS, VOITURES DE TOURISME, VÉHICULES POUR LE TRANSPORT DE MARCHANDISES ET VÉHICULES À USAGES SPÉCIAUX, N.D.A.</v>
      </c>
    </row>
    <row r="1484" spans="1:4" x14ac:dyDescent="0.25">
      <c r="A1484" t="str">
        <f>T("   ZZZ_Monde")</f>
        <v xml:space="preserve">   ZZZ_Monde</v>
      </c>
      <c r="B1484" t="str">
        <f>T("   ZZZ_Monde")</f>
        <v xml:space="preserve">   ZZZ_Monde</v>
      </c>
      <c r="C1484">
        <v>32300000</v>
      </c>
      <c r="D1484">
        <v>12461.7</v>
      </c>
    </row>
    <row r="1485" spans="1:4" x14ac:dyDescent="0.25">
      <c r="A1485" t="str">
        <f>T("   AL")</f>
        <v xml:space="preserve">   AL</v>
      </c>
      <c r="B1485" t="str">
        <f>T("   Albanie")</f>
        <v xml:space="preserve">   Albanie</v>
      </c>
      <c r="C1485">
        <v>3450000</v>
      </c>
      <c r="D1485">
        <v>1630</v>
      </c>
    </row>
    <row r="1486" spans="1:4" x14ac:dyDescent="0.25">
      <c r="A1486" t="str">
        <f>T("   DE")</f>
        <v xml:space="preserve">   DE</v>
      </c>
      <c r="B1486" t="str">
        <f>T("   Allemagne")</f>
        <v xml:space="preserve">   Allemagne</v>
      </c>
      <c r="C1486">
        <v>28850000</v>
      </c>
      <c r="D1486">
        <v>10831.7</v>
      </c>
    </row>
    <row r="1487" spans="1:4" x14ac:dyDescent="0.25">
      <c r="A1487" t="str">
        <f>T("870899")</f>
        <v>870899</v>
      </c>
      <c r="B1487" t="str">
        <f>T("PARTIES ET ACCESSOIRES, POUR TRACTEURS, VÉHICULES POUR LE TRANSPORT DE &gt;= 10 PERSONNES, CHAUFFEUR INCLUS, VOITURES DE TOURISME, VÉHICULES POUR LE TRANSPORT DE MARCHANDISES ET VÉHICULES À USAGES SPÉCIAUX, N.D.A.")</f>
        <v>PARTIES ET ACCESSOIRES, POUR TRACTEURS, VÉHICULES POUR LE TRANSPORT DE &gt;= 10 PERSONNES, CHAUFFEUR INCLUS, VOITURES DE TOURISME, VÉHICULES POUR LE TRANSPORT DE MARCHANDISES ET VÉHICULES À USAGES SPÉCIAUX, N.D.A.</v>
      </c>
    </row>
    <row r="1488" spans="1:4" x14ac:dyDescent="0.25">
      <c r="A1488" t="str">
        <f>T("   ZZZ_Monde")</f>
        <v xml:space="preserve">   ZZZ_Monde</v>
      </c>
      <c r="B1488" t="str">
        <f>T("   ZZZ_Monde")</f>
        <v xml:space="preserve">   ZZZ_Monde</v>
      </c>
      <c r="C1488">
        <v>55758351</v>
      </c>
      <c r="D1488">
        <v>74104</v>
      </c>
    </row>
    <row r="1489" spans="1:4" x14ac:dyDescent="0.25">
      <c r="A1489" t="str">
        <f>T("   BE")</f>
        <v xml:space="preserve">   BE</v>
      </c>
      <c r="B1489" t="str">
        <f>T("   Belgique")</f>
        <v xml:space="preserve">   Belgique</v>
      </c>
      <c r="C1489">
        <v>52108351</v>
      </c>
      <c r="D1489">
        <v>72559</v>
      </c>
    </row>
    <row r="1490" spans="1:4" x14ac:dyDescent="0.25">
      <c r="A1490" t="str">
        <f>T("   GQ")</f>
        <v xml:space="preserve">   GQ</v>
      </c>
      <c r="B1490" t="str">
        <f>T("   Guinée Equatoriale")</f>
        <v xml:space="preserve">   Guinée Equatoriale</v>
      </c>
      <c r="C1490">
        <v>150000</v>
      </c>
      <c r="D1490">
        <v>45</v>
      </c>
    </row>
    <row r="1491" spans="1:4" x14ac:dyDescent="0.25">
      <c r="A1491" t="str">
        <f>T("   TG")</f>
        <v xml:space="preserve">   TG</v>
      </c>
      <c r="B1491" t="str">
        <f>T("   Togo")</f>
        <v xml:space="preserve">   Togo</v>
      </c>
      <c r="C1491">
        <v>3500000</v>
      </c>
      <c r="D1491">
        <v>1500</v>
      </c>
    </row>
    <row r="1492" spans="1:4" x14ac:dyDescent="0.25">
      <c r="A1492" t="str">
        <f>T("871110")</f>
        <v>871110</v>
      </c>
      <c r="B1492" t="str">
        <f>T("Cyclomoteurs, à moteur à piston alternatif, cylindrée &lt;= 50 cm³, y.c. cycles à moteur auxiliaire")</f>
        <v>Cyclomoteurs, à moteur à piston alternatif, cylindrée &lt;= 50 cm³, y.c. cycles à moteur auxiliaire</v>
      </c>
    </row>
    <row r="1493" spans="1:4" x14ac:dyDescent="0.25">
      <c r="A1493" t="str">
        <f>T("   ZZZ_Monde")</f>
        <v xml:space="preserve">   ZZZ_Monde</v>
      </c>
      <c r="B1493" t="str">
        <f>T("   ZZZ_Monde")</f>
        <v xml:space="preserve">   ZZZ_Monde</v>
      </c>
      <c r="C1493">
        <v>1439215</v>
      </c>
      <c r="D1493">
        <v>330</v>
      </c>
    </row>
    <row r="1494" spans="1:4" x14ac:dyDescent="0.25">
      <c r="A1494" t="str">
        <f>T("   FR")</f>
        <v xml:space="preserve">   FR</v>
      </c>
      <c r="B1494" t="str">
        <f>T("   France")</f>
        <v xml:space="preserve">   France</v>
      </c>
      <c r="C1494">
        <v>1119215</v>
      </c>
      <c r="D1494">
        <v>150</v>
      </c>
    </row>
    <row r="1495" spans="1:4" x14ac:dyDescent="0.25">
      <c r="A1495" t="str">
        <f>T("   GQ")</f>
        <v xml:space="preserve">   GQ</v>
      </c>
      <c r="B1495" t="str">
        <f>T("   Guinée Equatoriale")</f>
        <v xml:space="preserve">   Guinée Equatoriale</v>
      </c>
      <c r="C1495">
        <v>320000</v>
      </c>
      <c r="D1495">
        <v>180</v>
      </c>
    </row>
    <row r="1496" spans="1:4" x14ac:dyDescent="0.25">
      <c r="A1496" t="str">
        <f>T("871120")</f>
        <v>871120</v>
      </c>
      <c r="B1496" t="str">
        <f>T("Motocycles à moteur à piston alternatif, cylindrée &gt; 50 cm³ mais &lt;= 250 cm³")</f>
        <v>Motocycles à moteur à piston alternatif, cylindrée &gt; 50 cm³ mais &lt;= 250 cm³</v>
      </c>
    </row>
    <row r="1497" spans="1:4" x14ac:dyDescent="0.25">
      <c r="A1497" t="str">
        <f>T("   ZZZ_Monde")</f>
        <v xml:space="preserve">   ZZZ_Monde</v>
      </c>
      <c r="B1497" t="str">
        <f>T("   ZZZ_Monde")</f>
        <v xml:space="preserve">   ZZZ_Monde</v>
      </c>
      <c r="C1497">
        <v>15120336</v>
      </c>
      <c r="D1497">
        <v>8736</v>
      </c>
    </row>
    <row r="1498" spans="1:4" x14ac:dyDescent="0.25">
      <c r="A1498" t="str">
        <f>T("   UG")</f>
        <v xml:space="preserve">   UG</v>
      </c>
      <c r="B1498" t="str">
        <f>T("   Ouganda")</f>
        <v xml:space="preserve">   Ouganda</v>
      </c>
      <c r="C1498">
        <v>15120336</v>
      </c>
      <c r="D1498">
        <v>8736</v>
      </c>
    </row>
    <row r="1499" spans="1:4" x14ac:dyDescent="0.25">
      <c r="A1499" t="str">
        <f>T("871130")</f>
        <v>871130</v>
      </c>
      <c r="B1499" t="str">
        <f>T("Motocycles à moteur à piston alternatif, cylindrée &gt; 250 cm³ mais &lt;= 500 cm³")</f>
        <v>Motocycles à moteur à piston alternatif, cylindrée &gt; 250 cm³ mais &lt;= 500 cm³</v>
      </c>
    </row>
    <row r="1500" spans="1:4" x14ac:dyDescent="0.25">
      <c r="A1500" t="str">
        <f>T("   ZZZ_Monde")</f>
        <v xml:space="preserve">   ZZZ_Monde</v>
      </c>
      <c r="B1500" t="str">
        <f>T("   ZZZ_Monde")</f>
        <v xml:space="preserve">   ZZZ_Monde</v>
      </c>
      <c r="C1500">
        <v>1512791</v>
      </c>
      <c r="D1500">
        <v>110</v>
      </c>
    </row>
    <row r="1501" spans="1:4" x14ac:dyDescent="0.25">
      <c r="A1501" t="str">
        <f>T("   LR")</f>
        <v xml:space="preserve">   LR</v>
      </c>
      <c r="B1501" t="str">
        <f>T("   Libéria")</f>
        <v xml:space="preserve">   Libéria</v>
      </c>
      <c r="C1501">
        <v>1512791</v>
      </c>
      <c r="D1501">
        <v>110</v>
      </c>
    </row>
    <row r="1502" spans="1:4" x14ac:dyDescent="0.25">
      <c r="A1502" t="str">
        <f>T("871140")</f>
        <v>871140</v>
      </c>
      <c r="B1502" t="str">
        <f>T("Motocycles à moteur à piston alternatif, cylindrée &gt; 500 cm³ mais &lt;= 800 cm³")</f>
        <v>Motocycles à moteur à piston alternatif, cylindrée &gt; 500 cm³ mais &lt;= 800 cm³</v>
      </c>
    </row>
    <row r="1503" spans="1:4" x14ac:dyDescent="0.25">
      <c r="A1503" t="str">
        <f>T("   ZZZ_Monde")</f>
        <v xml:space="preserve">   ZZZ_Monde</v>
      </c>
      <c r="B1503" t="str">
        <f>T("   ZZZ_Monde")</f>
        <v xml:space="preserve">   ZZZ_Monde</v>
      </c>
      <c r="C1503">
        <v>1311920</v>
      </c>
      <c r="D1503">
        <v>215</v>
      </c>
    </row>
    <row r="1504" spans="1:4" x14ac:dyDescent="0.25">
      <c r="A1504" t="str">
        <f>T("   DE")</f>
        <v xml:space="preserve">   DE</v>
      </c>
      <c r="B1504" t="str">
        <f>T("   Allemagne")</f>
        <v xml:space="preserve">   Allemagne</v>
      </c>
      <c r="C1504">
        <v>1311920</v>
      </c>
      <c r="D1504">
        <v>215</v>
      </c>
    </row>
    <row r="1505" spans="1:4" x14ac:dyDescent="0.25">
      <c r="A1505" t="str">
        <f>T("871200")</f>
        <v>871200</v>
      </c>
      <c r="B1505" t="str">
        <f>T("BICYCLETTES ET AUTRES CYCLES, -Y.C. LES TRIPORTEURS-, SANS MOTEUR")</f>
        <v>BICYCLETTES ET AUTRES CYCLES, -Y.C. LES TRIPORTEURS-, SANS MOTEUR</v>
      </c>
    </row>
    <row r="1506" spans="1:4" x14ac:dyDescent="0.25">
      <c r="A1506" t="str">
        <f>T("   ZZZ_Monde")</f>
        <v xml:space="preserve">   ZZZ_Monde</v>
      </c>
      <c r="B1506" t="str">
        <f>T("   ZZZ_Monde")</f>
        <v xml:space="preserve">   ZZZ_Monde</v>
      </c>
      <c r="C1506">
        <v>1491323</v>
      </c>
      <c r="D1506">
        <v>1010</v>
      </c>
    </row>
    <row r="1507" spans="1:4" x14ac:dyDescent="0.25">
      <c r="A1507" t="str">
        <f>T("   BF")</f>
        <v xml:space="preserve">   BF</v>
      </c>
      <c r="B1507" t="str">
        <f>T("   Burkina Faso")</f>
        <v xml:space="preserve">   Burkina Faso</v>
      </c>
      <c r="C1507">
        <v>875000</v>
      </c>
      <c r="D1507">
        <v>800</v>
      </c>
    </row>
    <row r="1508" spans="1:4" x14ac:dyDescent="0.25">
      <c r="A1508" t="str">
        <f>T("   CG")</f>
        <v xml:space="preserve">   CG</v>
      </c>
      <c r="B1508" t="str">
        <f>T("   Congo (Brazzaville)")</f>
        <v xml:space="preserve">   Congo (Brazzaville)</v>
      </c>
      <c r="C1508">
        <v>145000</v>
      </c>
      <c r="D1508">
        <v>100</v>
      </c>
    </row>
    <row r="1509" spans="1:4" x14ac:dyDescent="0.25">
      <c r="A1509" t="str">
        <f>T("   TG")</f>
        <v xml:space="preserve">   TG</v>
      </c>
      <c r="B1509" t="str">
        <f>T("   Togo")</f>
        <v xml:space="preserve">   Togo</v>
      </c>
      <c r="C1509">
        <v>471323</v>
      </c>
      <c r="D1509">
        <v>110</v>
      </c>
    </row>
    <row r="1510" spans="1:4" x14ac:dyDescent="0.25">
      <c r="A1510" t="str">
        <f>T("871419")</f>
        <v>871419</v>
      </c>
      <c r="B1510" t="str">
        <f>T("Parties et accessoires de motocycles, y.c. de cyclomoteurs, n.d.a.")</f>
        <v>Parties et accessoires de motocycles, y.c. de cyclomoteurs, n.d.a.</v>
      </c>
    </row>
    <row r="1511" spans="1:4" x14ac:dyDescent="0.25">
      <c r="A1511" t="str">
        <f>T("   ZZZ_Monde")</f>
        <v xml:space="preserve">   ZZZ_Monde</v>
      </c>
      <c r="B1511" t="str">
        <f>T("   ZZZ_Monde")</f>
        <v xml:space="preserve">   ZZZ_Monde</v>
      </c>
      <c r="C1511">
        <v>118073</v>
      </c>
      <c r="D1511">
        <v>15</v>
      </c>
    </row>
    <row r="1512" spans="1:4" x14ac:dyDescent="0.25">
      <c r="A1512" t="str">
        <f>T("   DE")</f>
        <v xml:space="preserve">   DE</v>
      </c>
      <c r="B1512" t="str">
        <f>T("   Allemagne")</f>
        <v xml:space="preserve">   Allemagne</v>
      </c>
      <c r="C1512">
        <v>118073</v>
      </c>
      <c r="D1512">
        <v>15</v>
      </c>
    </row>
    <row r="1513" spans="1:4" x14ac:dyDescent="0.25">
      <c r="A1513" t="str">
        <f>T("871620")</f>
        <v>871620</v>
      </c>
      <c r="B1513" t="str">
        <f>T("Remorques et semi-remorques autochargeuses ou autodéchargeuses, pour usages agricoles")</f>
        <v>Remorques et semi-remorques autochargeuses ou autodéchargeuses, pour usages agricoles</v>
      </c>
    </row>
    <row r="1514" spans="1:4" x14ac:dyDescent="0.25">
      <c r="A1514" t="str">
        <f>T("   ZZZ_Monde")</f>
        <v xml:space="preserve">   ZZZ_Monde</v>
      </c>
      <c r="B1514" t="str">
        <f>T("   ZZZ_Monde")</f>
        <v xml:space="preserve">   ZZZ_Monde</v>
      </c>
      <c r="C1514">
        <v>2408953</v>
      </c>
      <c r="D1514">
        <v>17000</v>
      </c>
    </row>
    <row r="1515" spans="1:4" x14ac:dyDescent="0.25">
      <c r="A1515" t="str">
        <f>T("   BF")</f>
        <v xml:space="preserve">   BF</v>
      </c>
      <c r="B1515" t="str">
        <f>T("   Burkina Faso")</f>
        <v xml:space="preserve">   Burkina Faso</v>
      </c>
      <c r="C1515">
        <v>2408953</v>
      </c>
      <c r="D1515">
        <v>17000</v>
      </c>
    </row>
    <row r="1516" spans="1:4" x14ac:dyDescent="0.25">
      <c r="A1516" t="str">
        <f>T("871640")</f>
        <v>871640</v>
      </c>
      <c r="B1516" t="str">
        <f>T("Remorques ne circulant pas sur rails (à l'excl. des remorques pour le transport de marchandises et remorques pour l'habitation ou le camping, du type caravane)")</f>
        <v>Remorques ne circulant pas sur rails (à l'excl. des remorques pour le transport de marchandises et remorques pour l'habitation ou le camping, du type caravane)</v>
      </c>
    </row>
    <row r="1517" spans="1:4" x14ac:dyDescent="0.25">
      <c r="A1517" t="str">
        <f>T("   ZZZ_Monde")</f>
        <v xml:space="preserve">   ZZZ_Monde</v>
      </c>
      <c r="B1517" t="str">
        <f>T("   ZZZ_Monde")</f>
        <v xml:space="preserve">   ZZZ_Monde</v>
      </c>
      <c r="C1517">
        <v>34592213</v>
      </c>
      <c r="D1517">
        <v>20300</v>
      </c>
    </row>
    <row r="1518" spans="1:4" x14ac:dyDescent="0.25">
      <c r="A1518" t="str">
        <f>T("   BF")</f>
        <v xml:space="preserve">   BF</v>
      </c>
      <c r="B1518" t="str">
        <f>T("   Burkina Faso")</f>
        <v xml:space="preserve">   Burkina Faso</v>
      </c>
      <c r="C1518">
        <v>15000000</v>
      </c>
      <c r="D1518">
        <v>12000</v>
      </c>
    </row>
    <row r="1519" spans="1:4" x14ac:dyDescent="0.25">
      <c r="A1519" t="str">
        <f>T("   TG")</f>
        <v xml:space="preserve">   TG</v>
      </c>
      <c r="B1519" t="str">
        <f>T("   Togo")</f>
        <v xml:space="preserve">   Togo</v>
      </c>
      <c r="C1519">
        <v>19592213</v>
      </c>
      <c r="D1519">
        <v>8300</v>
      </c>
    </row>
    <row r="1520" spans="1:4" x14ac:dyDescent="0.25">
      <c r="A1520" t="str">
        <f>T("900640")</f>
        <v>900640</v>
      </c>
      <c r="B1520" t="str">
        <f>T("Appareils photographiques à développement et tirage instantanés (à l'excl. des appareils photographiques pour usages spéciaux dus n° 9006.10, 9006.20 ou 9006.30)")</f>
        <v>Appareils photographiques à développement et tirage instantanés (à l'excl. des appareils photographiques pour usages spéciaux dus n° 9006.10, 9006.20 ou 9006.30)</v>
      </c>
    </row>
    <row r="1521" spans="1:4" x14ac:dyDescent="0.25">
      <c r="A1521" t="str">
        <f>T("   ZZZ_Monde")</f>
        <v xml:space="preserve">   ZZZ_Monde</v>
      </c>
      <c r="B1521" t="str">
        <f>T("   ZZZ_Monde")</f>
        <v xml:space="preserve">   ZZZ_Monde</v>
      </c>
      <c r="C1521">
        <v>2000000</v>
      </c>
      <c r="D1521">
        <v>6000</v>
      </c>
    </row>
    <row r="1522" spans="1:4" x14ac:dyDescent="0.25">
      <c r="A1522" t="str">
        <f>T("   CI")</f>
        <v xml:space="preserve">   CI</v>
      </c>
      <c r="B1522" t="str">
        <f>T("   Côte d'Ivoire")</f>
        <v xml:space="preserve">   Côte d'Ivoire</v>
      </c>
      <c r="C1522">
        <v>2000000</v>
      </c>
      <c r="D1522">
        <v>6000</v>
      </c>
    </row>
    <row r="1523" spans="1:4" x14ac:dyDescent="0.25">
      <c r="A1523" t="str">
        <f>T("900659")</f>
        <v>900659</v>
      </c>
      <c r="B1523" t="str">
        <f>T("Appareils photographiques, pour pellicules en rouleaux d'une largeur &gt; 35 mm ou pour films plans (autres que les appareils photographiques à développement et tirage instantanés et les appareils photographiques pour usages spéciaux du n° 9006.10, 9006.20 o")</f>
        <v>Appareils photographiques, pour pellicules en rouleaux d'une largeur &gt; 35 mm ou pour films plans (autres que les appareils photographiques à développement et tirage instantanés et les appareils photographiques pour usages spéciaux du n° 9006.10, 9006.20 o</v>
      </c>
    </row>
    <row r="1524" spans="1:4" x14ac:dyDescent="0.25">
      <c r="A1524" t="str">
        <f>T("   ZZZ_Monde")</f>
        <v xml:space="preserve">   ZZZ_Monde</v>
      </c>
      <c r="B1524" t="str">
        <f>T("   ZZZ_Monde")</f>
        <v xml:space="preserve">   ZZZ_Monde</v>
      </c>
      <c r="C1524">
        <v>2000000</v>
      </c>
      <c r="D1524">
        <v>6700</v>
      </c>
    </row>
    <row r="1525" spans="1:4" x14ac:dyDescent="0.25">
      <c r="A1525" t="str">
        <f>T("   CI")</f>
        <v xml:space="preserve">   CI</v>
      </c>
      <c r="B1525" t="str">
        <f>T("   Côte d'Ivoire")</f>
        <v xml:space="preserve">   Côte d'Ivoire</v>
      </c>
      <c r="C1525">
        <v>2000000</v>
      </c>
      <c r="D1525">
        <v>6700</v>
      </c>
    </row>
    <row r="1526" spans="1:4" x14ac:dyDescent="0.25">
      <c r="A1526" t="str">
        <f>T("901010")</f>
        <v>901010</v>
      </c>
      <c r="B1526" t="str">
        <f>T("Appareils et matériel pour le développement automatique des pellicules photographiques, des films cinématographiques ou du papier photographique en rouleaux ou pour l'impression automatique des pellicules développées sur des rouleaux de papier photographi")</f>
        <v>Appareils et matériel pour le développement automatique des pellicules photographiques, des films cinématographiques ou du papier photographique en rouleaux ou pour l'impression automatique des pellicules développées sur des rouleaux de papier photographi</v>
      </c>
    </row>
    <row r="1527" spans="1:4" x14ac:dyDescent="0.25">
      <c r="A1527" t="str">
        <f>T("   ZZZ_Monde")</f>
        <v xml:space="preserve">   ZZZ_Monde</v>
      </c>
      <c r="B1527" t="str">
        <f>T("   ZZZ_Monde")</f>
        <v xml:space="preserve">   ZZZ_Monde</v>
      </c>
      <c r="C1527">
        <v>780000</v>
      </c>
      <c r="D1527">
        <v>600</v>
      </c>
    </row>
    <row r="1528" spans="1:4" x14ac:dyDescent="0.25">
      <c r="A1528" t="str">
        <f>T("   ML")</f>
        <v xml:space="preserve">   ML</v>
      </c>
      <c r="B1528" t="str">
        <f>T("   Mali")</f>
        <v xml:space="preserve">   Mali</v>
      </c>
      <c r="C1528">
        <v>780000</v>
      </c>
      <c r="D1528">
        <v>600</v>
      </c>
    </row>
    <row r="1529" spans="1:4" x14ac:dyDescent="0.25">
      <c r="A1529" t="str">
        <f>T("902480")</f>
        <v>902480</v>
      </c>
      <c r="B1529" t="str">
        <f>T("Machines et appareils d'essais des propriétés mécaniques des matériaux (autres que les métaux)")</f>
        <v>Machines et appareils d'essais des propriétés mécaniques des matériaux (autres que les métaux)</v>
      </c>
    </row>
    <row r="1530" spans="1:4" x14ac:dyDescent="0.25">
      <c r="A1530" t="str">
        <f>T("   ZZZ_Monde")</f>
        <v xml:space="preserve">   ZZZ_Monde</v>
      </c>
      <c r="B1530" t="str">
        <f>T("   ZZZ_Monde")</f>
        <v xml:space="preserve">   ZZZ_Monde</v>
      </c>
      <c r="C1530">
        <v>13138896</v>
      </c>
      <c r="D1530">
        <v>1800</v>
      </c>
    </row>
    <row r="1531" spans="1:4" x14ac:dyDescent="0.25">
      <c r="A1531" t="str">
        <f>T("   TG")</f>
        <v xml:space="preserve">   TG</v>
      </c>
      <c r="B1531" t="str">
        <f>T("   Togo")</f>
        <v xml:space="preserve">   Togo</v>
      </c>
      <c r="C1531">
        <v>13138896</v>
      </c>
      <c r="D1531">
        <v>1800</v>
      </c>
    </row>
    <row r="1532" spans="1:4" x14ac:dyDescent="0.25">
      <c r="A1532" t="str">
        <f>T("902610")</f>
        <v>902610</v>
      </c>
      <c r="B1532" t="str">
        <f>T("Instruments et appareils pour la mesure ou le contrôle du débit ou du niveau des liquides (à l'excl. des compteurs et des instruments et appareils pour la régulation ou le contrôle automatiques)")</f>
        <v>Instruments et appareils pour la mesure ou le contrôle du débit ou du niveau des liquides (à l'excl. des compteurs et des instruments et appareils pour la régulation ou le contrôle automatiques)</v>
      </c>
    </row>
    <row r="1533" spans="1:4" x14ac:dyDescent="0.25">
      <c r="A1533" t="str">
        <f>T("   ZZZ_Monde")</f>
        <v xml:space="preserve">   ZZZ_Monde</v>
      </c>
      <c r="B1533" t="str">
        <f>T("   ZZZ_Monde")</f>
        <v xml:space="preserve">   ZZZ_Monde</v>
      </c>
      <c r="C1533">
        <v>2119250</v>
      </c>
      <c r="D1533">
        <v>900</v>
      </c>
    </row>
    <row r="1534" spans="1:4" x14ac:dyDescent="0.25">
      <c r="A1534" t="str">
        <f>T("   BE")</f>
        <v xml:space="preserve">   BE</v>
      </c>
      <c r="B1534" t="str">
        <f>T("   Belgique")</f>
        <v xml:space="preserve">   Belgique</v>
      </c>
      <c r="C1534">
        <v>2119250</v>
      </c>
      <c r="D1534">
        <v>900</v>
      </c>
    </row>
    <row r="1535" spans="1:4" x14ac:dyDescent="0.25">
      <c r="A1535" t="str">
        <f>T("920790")</f>
        <v>920790</v>
      </c>
      <c r="B1535" t="str">
        <f>T("Accordéons électriques et autres instruments de musique électriques")</f>
        <v>Accordéons électriques et autres instruments de musique électriques</v>
      </c>
    </row>
    <row r="1536" spans="1:4" x14ac:dyDescent="0.25">
      <c r="A1536" t="str">
        <f>T("   ZZZ_Monde")</f>
        <v xml:space="preserve">   ZZZ_Monde</v>
      </c>
      <c r="B1536" t="str">
        <f>T("   ZZZ_Monde")</f>
        <v xml:space="preserve">   ZZZ_Monde</v>
      </c>
      <c r="C1536">
        <v>11317061</v>
      </c>
      <c r="D1536">
        <v>1000</v>
      </c>
    </row>
    <row r="1537" spans="1:4" x14ac:dyDescent="0.25">
      <c r="A1537" t="str">
        <f>T("   NG")</f>
        <v xml:space="preserve">   NG</v>
      </c>
      <c r="B1537" t="str">
        <f>T("   Nigéria")</f>
        <v xml:space="preserve">   Nigéria</v>
      </c>
      <c r="C1537">
        <v>11317061</v>
      </c>
      <c r="D1537">
        <v>1000</v>
      </c>
    </row>
    <row r="1538" spans="1:4" x14ac:dyDescent="0.25">
      <c r="A1538" t="str">
        <f>T("940320")</f>
        <v>940320</v>
      </c>
      <c r="B1538" t="str">
        <f>T("Meubles en métal, sauf meubles de bureau, sièges et mobilier pour la médecine, la chirurgie, l'art dentaire ou vétérinaire")</f>
        <v>Meubles en métal, sauf meubles de bureau, sièges et mobilier pour la médecine, la chirurgie, l'art dentaire ou vétérinaire</v>
      </c>
    </row>
    <row r="1539" spans="1:4" x14ac:dyDescent="0.25">
      <c r="A1539" t="str">
        <f>T("   ZZZ_Monde")</f>
        <v xml:space="preserve">   ZZZ_Monde</v>
      </c>
      <c r="B1539" t="str">
        <f>T("   ZZZ_Monde")</f>
        <v xml:space="preserve">   ZZZ_Monde</v>
      </c>
      <c r="C1539">
        <v>400000</v>
      </c>
      <c r="D1539">
        <v>400</v>
      </c>
    </row>
    <row r="1540" spans="1:4" x14ac:dyDescent="0.25">
      <c r="A1540" t="str">
        <f>T("   FR")</f>
        <v xml:space="preserve">   FR</v>
      </c>
      <c r="B1540" t="str">
        <f>T("   France")</f>
        <v xml:space="preserve">   France</v>
      </c>
      <c r="C1540">
        <v>400000</v>
      </c>
      <c r="D1540">
        <v>400</v>
      </c>
    </row>
    <row r="1541" spans="1:4" x14ac:dyDescent="0.25">
      <c r="A1541" t="str">
        <f>T("940330")</f>
        <v>940330</v>
      </c>
      <c r="B1541" t="str">
        <f>T("Meubles de bureau en bois (sauf sièges)")</f>
        <v>Meubles de bureau en bois (sauf sièges)</v>
      </c>
    </row>
    <row r="1542" spans="1:4" x14ac:dyDescent="0.25">
      <c r="A1542" t="str">
        <f>T("   ZZZ_Monde")</f>
        <v xml:space="preserve">   ZZZ_Monde</v>
      </c>
      <c r="B1542" t="str">
        <f>T("   ZZZ_Monde")</f>
        <v xml:space="preserve">   ZZZ_Monde</v>
      </c>
      <c r="C1542">
        <v>1215082</v>
      </c>
      <c r="D1542">
        <v>2800</v>
      </c>
    </row>
    <row r="1543" spans="1:4" x14ac:dyDescent="0.25">
      <c r="A1543" t="str">
        <f>T("   NE")</f>
        <v xml:space="preserve">   NE</v>
      </c>
      <c r="B1543" t="str">
        <f>T("   Niger")</f>
        <v xml:space="preserve">   Niger</v>
      </c>
      <c r="C1543">
        <v>950950</v>
      </c>
      <c r="D1543">
        <v>2000</v>
      </c>
    </row>
    <row r="1544" spans="1:4" x14ac:dyDescent="0.25">
      <c r="A1544" t="str">
        <f>T("   NL")</f>
        <v xml:space="preserve">   NL</v>
      </c>
      <c r="B1544" t="str">
        <f>T("   Pays-bas")</f>
        <v xml:space="preserve">   Pays-bas</v>
      </c>
      <c r="C1544">
        <v>264132</v>
      </c>
      <c r="D1544">
        <v>800</v>
      </c>
    </row>
    <row r="1545" spans="1:4" x14ac:dyDescent="0.25">
      <c r="A1545" t="str">
        <f>T("940350")</f>
        <v>940350</v>
      </c>
      <c r="B1545" t="str">
        <f>T("Meubles pour chambres à coucher, en bois (sauf sièges)")</f>
        <v>Meubles pour chambres à coucher, en bois (sauf sièges)</v>
      </c>
    </row>
    <row r="1546" spans="1:4" x14ac:dyDescent="0.25">
      <c r="A1546" t="str">
        <f>T("   ZZZ_Monde")</f>
        <v xml:space="preserve">   ZZZ_Monde</v>
      </c>
      <c r="B1546" t="str">
        <f>T("   ZZZ_Monde")</f>
        <v xml:space="preserve">   ZZZ_Monde</v>
      </c>
      <c r="C1546">
        <v>130598307</v>
      </c>
      <c r="D1546">
        <v>72710</v>
      </c>
    </row>
    <row r="1547" spans="1:4" x14ac:dyDescent="0.25">
      <c r="A1547" t="str">
        <f>T("   AR")</f>
        <v xml:space="preserve">   AR</v>
      </c>
      <c r="B1547" t="str">
        <f>T("   Argentine")</f>
        <v xml:space="preserve">   Argentine</v>
      </c>
      <c r="C1547">
        <v>900000</v>
      </c>
      <c r="D1547">
        <v>1800</v>
      </c>
    </row>
    <row r="1548" spans="1:4" x14ac:dyDescent="0.25">
      <c r="A1548" t="str">
        <f>T("   BE")</f>
        <v xml:space="preserve">   BE</v>
      </c>
      <c r="B1548" t="str">
        <f>T("   Belgique")</f>
        <v xml:space="preserve">   Belgique</v>
      </c>
      <c r="C1548">
        <v>3400000</v>
      </c>
      <c r="D1548">
        <v>5100</v>
      </c>
    </row>
    <row r="1549" spans="1:4" x14ac:dyDescent="0.25">
      <c r="A1549" t="str">
        <f>T("   BF")</f>
        <v xml:space="preserve">   BF</v>
      </c>
      <c r="B1549" t="str">
        <f>T("   Burkina Faso")</f>
        <v xml:space="preserve">   Burkina Faso</v>
      </c>
      <c r="C1549">
        <v>1200000</v>
      </c>
      <c r="D1549">
        <v>1000</v>
      </c>
    </row>
    <row r="1550" spans="1:4" x14ac:dyDescent="0.25">
      <c r="A1550" t="str">
        <f>T("   CD")</f>
        <v xml:space="preserve">   CD</v>
      </c>
      <c r="B1550" t="str">
        <f>T("   Congo, République Démocratique")</f>
        <v xml:space="preserve">   Congo, République Démocratique</v>
      </c>
      <c r="C1550">
        <v>600000</v>
      </c>
      <c r="D1550">
        <v>800</v>
      </c>
    </row>
    <row r="1551" spans="1:4" x14ac:dyDescent="0.25">
      <c r="A1551" t="str">
        <f>T("   CF")</f>
        <v xml:space="preserve">   CF</v>
      </c>
      <c r="B1551" t="str">
        <f>T("   Centrafricaine, République")</f>
        <v xml:space="preserve">   Centrafricaine, République</v>
      </c>
      <c r="C1551">
        <v>750000</v>
      </c>
      <c r="D1551">
        <v>1000</v>
      </c>
    </row>
    <row r="1552" spans="1:4" x14ac:dyDescent="0.25">
      <c r="A1552" t="str">
        <f>T("   CG")</f>
        <v xml:space="preserve">   CG</v>
      </c>
      <c r="B1552" t="str">
        <f>T("   Congo (Brazzaville)")</f>
        <v xml:space="preserve">   Congo (Brazzaville)</v>
      </c>
      <c r="C1552">
        <v>800000</v>
      </c>
      <c r="D1552">
        <v>1800</v>
      </c>
    </row>
    <row r="1553" spans="1:4" x14ac:dyDescent="0.25">
      <c r="A1553" t="str">
        <f>T("   CI")</f>
        <v xml:space="preserve">   CI</v>
      </c>
      <c r="B1553" t="str">
        <f>T("   Côte d'Ivoire")</f>
        <v xml:space="preserve">   Côte d'Ivoire</v>
      </c>
      <c r="C1553">
        <v>2550000</v>
      </c>
      <c r="D1553">
        <v>3300</v>
      </c>
    </row>
    <row r="1554" spans="1:4" x14ac:dyDescent="0.25">
      <c r="A1554" t="str">
        <f>T("   CM")</f>
        <v xml:space="preserve">   CM</v>
      </c>
      <c r="B1554" t="str">
        <f>T("   Cameroun")</f>
        <v xml:space="preserve">   Cameroun</v>
      </c>
      <c r="C1554">
        <v>700000</v>
      </c>
      <c r="D1554">
        <v>350</v>
      </c>
    </row>
    <row r="1555" spans="1:4" x14ac:dyDescent="0.25">
      <c r="A1555" t="str">
        <f>T("   DE")</f>
        <v xml:space="preserve">   DE</v>
      </c>
      <c r="B1555" t="str">
        <f>T("   Allemagne")</f>
        <v xml:space="preserve">   Allemagne</v>
      </c>
      <c r="C1555">
        <v>4800000</v>
      </c>
      <c r="D1555">
        <v>4900</v>
      </c>
    </row>
    <row r="1556" spans="1:4" x14ac:dyDescent="0.25">
      <c r="A1556" t="str">
        <f>T("   DK")</f>
        <v xml:space="preserve">   DK</v>
      </c>
      <c r="B1556" t="str">
        <f>T("   Danemark")</f>
        <v xml:space="preserve">   Danemark</v>
      </c>
      <c r="C1556">
        <v>1200000</v>
      </c>
      <c r="D1556">
        <v>1000</v>
      </c>
    </row>
    <row r="1557" spans="1:4" x14ac:dyDescent="0.25">
      <c r="A1557" t="str">
        <f>T("   FR")</f>
        <v xml:space="preserve">   FR</v>
      </c>
      <c r="B1557" t="str">
        <f>T("   France")</f>
        <v xml:space="preserve">   France</v>
      </c>
      <c r="C1557">
        <v>94698307</v>
      </c>
      <c r="D1557">
        <v>24510</v>
      </c>
    </row>
    <row r="1558" spans="1:4" x14ac:dyDescent="0.25">
      <c r="A1558" t="str">
        <f>T("   GB")</f>
        <v xml:space="preserve">   GB</v>
      </c>
      <c r="B1558" t="str">
        <f>T("   Royaume-Uni")</f>
        <v xml:space="preserve">   Royaume-Uni</v>
      </c>
      <c r="C1558">
        <v>2300000</v>
      </c>
      <c r="D1558">
        <v>2000</v>
      </c>
    </row>
    <row r="1559" spans="1:4" x14ac:dyDescent="0.25">
      <c r="A1559" t="str">
        <f>T("   GH")</f>
        <v xml:space="preserve">   GH</v>
      </c>
      <c r="B1559" t="str">
        <f>T("   Ghana")</f>
        <v xml:space="preserve">   Ghana</v>
      </c>
      <c r="C1559">
        <v>700000</v>
      </c>
      <c r="D1559">
        <v>1500</v>
      </c>
    </row>
    <row r="1560" spans="1:4" x14ac:dyDescent="0.25">
      <c r="A1560" t="str">
        <f>T("   GN")</f>
        <v xml:space="preserve">   GN</v>
      </c>
      <c r="B1560" t="str">
        <f>T("   Guinée")</f>
        <v xml:space="preserve">   Guinée</v>
      </c>
      <c r="C1560">
        <v>700000</v>
      </c>
      <c r="D1560">
        <v>900</v>
      </c>
    </row>
    <row r="1561" spans="1:4" x14ac:dyDescent="0.25">
      <c r="A1561" t="str">
        <f>T("   MA")</f>
        <v xml:space="preserve">   MA</v>
      </c>
      <c r="B1561" t="str">
        <f>T("   Maroc")</f>
        <v xml:space="preserve">   Maroc</v>
      </c>
      <c r="C1561">
        <v>1000000</v>
      </c>
      <c r="D1561">
        <v>2400</v>
      </c>
    </row>
    <row r="1562" spans="1:4" x14ac:dyDescent="0.25">
      <c r="A1562" t="str">
        <f>T("   ML")</f>
        <v xml:space="preserve">   ML</v>
      </c>
      <c r="B1562" t="str">
        <f>T("   Mali")</f>
        <v xml:space="preserve">   Mali</v>
      </c>
      <c r="C1562">
        <v>800000</v>
      </c>
      <c r="D1562">
        <v>750</v>
      </c>
    </row>
    <row r="1563" spans="1:4" x14ac:dyDescent="0.25">
      <c r="A1563" t="str">
        <f>T("   NE")</f>
        <v xml:space="preserve">   NE</v>
      </c>
      <c r="B1563" t="str">
        <f>T("   Niger")</f>
        <v xml:space="preserve">   Niger</v>
      </c>
      <c r="C1563">
        <v>1000000</v>
      </c>
      <c r="D1563">
        <v>800</v>
      </c>
    </row>
    <row r="1564" spans="1:4" x14ac:dyDescent="0.25">
      <c r="A1564" t="str">
        <f>T("   NL")</f>
        <v xml:space="preserve">   NL</v>
      </c>
      <c r="B1564" t="str">
        <f>T("   Pays-bas")</f>
        <v xml:space="preserve">   Pays-bas</v>
      </c>
      <c r="C1564">
        <v>3400000</v>
      </c>
      <c r="D1564">
        <v>3800</v>
      </c>
    </row>
    <row r="1565" spans="1:4" x14ac:dyDescent="0.25">
      <c r="A1565" t="str">
        <f>T("   PK")</f>
        <v xml:space="preserve">   PK</v>
      </c>
      <c r="B1565" t="str">
        <f>T("   Pakistan")</f>
        <v xml:space="preserve">   Pakistan</v>
      </c>
      <c r="C1565">
        <v>800000</v>
      </c>
      <c r="D1565">
        <v>700</v>
      </c>
    </row>
    <row r="1566" spans="1:4" x14ac:dyDescent="0.25">
      <c r="A1566" t="str">
        <f>T("   RW")</f>
        <v xml:space="preserve">   RW</v>
      </c>
      <c r="B1566" t="str">
        <f>T("   Rwanda")</f>
        <v xml:space="preserve">   Rwanda</v>
      </c>
      <c r="C1566">
        <v>1900000</v>
      </c>
      <c r="D1566">
        <v>4200</v>
      </c>
    </row>
    <row r="1567" spans="1:4" x14ac:dyDescent="0.25">
      <c r="A1567" t="str">
        <f>T("   SN")</f>
        <v xml:space="preserve">   SN</v>
      </c>
      <c r="B1567" t="str">
        <f>T("   Sénégal")</f>
        <v xml:space="preserve">   Sénégal</v>
      </c>
      <c r="C1567">
        <v>4100000</v>
      </c>
      <c r="D1567">
        <v>7600</v>
      </c>
    </row>
    <row r="1568" spans="1:4" x14ac:dyDescent="0.25">
      <c r="A1568" t="str">
        <f>T("   TZ")</f>
        <v xml:space="preserve">   TZ</v>
      </c>
      <c r="B1568" t="str">
        <f>T("   Tanzanie")</f>
        <v xml:space="preserve">   Tanzanie</v>
      </c>
      <c r="C1568">
        <v>700000</v>
      </c>
      <c r="D1568">
        <v>700</v>
      </c>
    </row>
    <row r="1569" spans="1:4" x14ac:dyDescent="0.25">
      <c r="A1569" t="str">
        <f>T("   US")</f>
        <v xml:space="preserve">   US</v>
      </c>
      <c r="B1569" t="str">
        <f>T("   Etats-Unis")</f>
        <v xml:space="preserve">   Etats-Unis</v>
      </c>
      <c r="C1569">
        <v>1600000</v>
      </c>
      <c r="D1569">
        <v>1800</v>
      </c>
    </row>
    <row r="1570" spans="1:4" x14ac:dyDescent="0.25">
      <c r="A1570" t="str">
        <f>T("940360")</f>
        <v>940360</v>
      </c>
      <c r="B1570" t="str">
        <f>T("Meubles en bois (autres que pour bureaux, cuisines ou chambres à coucher et autres que sièges)")</f>
        <v>Meubles en bois (autres que pour bureaux, cuisines ou chambres à coucher et autres que sièges)</v>
      </c>
    </row>
    <row r="1571" spans="1:4" x14ac:dyDescent="0.25">
      <c r="A1571" t="str">
        <f>T("   ZZZ_Monde")</f>
        <v xml:space="preserve">   ZZZ_Monde</v>
      </c>
      <c r="B1571" t="str">
        <f>T("   ZZZ_Monde")</f>
        <v xml:space="preserve">   ZZZ_Monde</v>
      </c>
      <c r="C1571">
        <v>189044928</v>
      </c>
      <c r="D1571">
        <v>121878</v>
      </c>
    </row>
    <row r="1572" spans="1:4" x14ac:dyDescent="0.25">
      <c r="A1572" t="str">
        <f>T("   AL")</f>
        <v xml:space="preserve">   AL</v>
      </c>
      <c r="B1572" t="str">
        <f>T("   Albanie")</f>
        <v xml:space="preserve">   Albanie</v>
      </c>
      <c r="C1572">
        <v>2500000</v>
      </c>
      <c r="D1572">
        <v>3230</v>
      </c>
    </row>
    <row r="1573" spans="1:4" x14ac:dyDescent="0.25">
      <c r="A1573" t="str">
        <f>T("   BE")</f>
        <v xml:space="preserve">   BE</v>
      </c>
      <c r="B1573" t="str">
        <f>T("   Belgique")</f>
        <v xml:space="preserve">   Belgique</v>
      </c>
      <c r="C1573">
        <v>2400000</v>
      </c>
      <c r="D1573">
        <v>3940</v>
      </c>
    </row>
    <row r="1574" spans="1:4" x14ac:dyDescent="0.25">
      <c r="A1574" t="str">
        <f>T("   BF")</f>
        <v xml:space="preserve">   BF</v>
      </c>
      <c r="B1574" t="str">
        <f>T("   Burkina Faso")</f>
        <v xml:space="preserve">   Burkina Faso</v>
      </c>
      <c r="C1574">
        <v>4350000</v>
      </c>
      <c r="D1574">
        <v>3850</v>
      </c>
    </row>
    <row r="1575" spans="1:4" x14ac:dyDescent="0.25">
      <c r="A1575" t="str">
        <f>T("   BI")</f>
        <v xml:space="preserve">   BI</v>
      </c>
      <c r="B1575" t="str">
        <f>T("   Burundi")</f>
        <v xml:space="preserve">   Burundi</v>
      </c>
      <c r="C1575">
        <v>15715705</v>
      </c>
      <c r="D1575">
        <v>950</v>
      </c>
    </row>
    <row r="1576" spans="1:4" x14ac:dyDescent="0.25">
      <c r="A1576" t="str">
        <f>T("   CA")</f>
        <v xml:space="preserve">   CA</v>
      </c>
      <c r="B1576" t="str">
        <f>T("   Canada")</f>
        <v xml:space="preserve">   Canada</v>
      </c>
      <c r="C1576">
        <v>4234480</v>
      </c>
      <c r="D1576">
        <v>3240</v>
      </c>
    </row>
    <row r="1577" spans="1:4" x14ac:dyDescent="0.25">
      <c r="A1577" t="str">
        <f>T("   CG")</f>
        <v xml:space="preserve">   CG</v>
      </c>
      <c r="B1577" t="str">
        <f>T("   Congo (Brazzaville)")</f>
        <v xml:space="preserve">   Congo (Brazzaville)</v>
      </c>
      <c r="C1577">
        <v>42629853</v>
      </c>
      <c r="D1577">
        <v>6765</v>
      </c>
    </row>
    <row r="1578" spans="1:4" x14ac:dyDescent="0.25">
      <c r="A1578" t="str">
        <f>T("   CI")</f>
        <v xml:space="preserve">   CI</v>
      </c>
      <c r="B1578" t="str">
        <f>T("   Côte d'Ivoire")</f>
        <v xml:space="preserve">   Côte d'Ivoire</v>
      </c>
      <c r="C1578">
        <v>7456000</v>
      </c>
      <c r="D1578">
        <v>2110</v>
      </c>
    </row>
    <row r="1579" spans="1:4" x14ac:dyDescent="0.25">
      <c r="A1579" t="str">
        <f>T("   CM")</f>
        <v xml:space="preserve">   CM</v>
      </c>
      <c r="B1579" t="str">
        <f>T("   Cameroun")</f>
        <v xml:space="preserve">   Cameroun</v>
      </c>
      <c r="C1579">
        <v>3250000</v>
      </c>
      <c r="D1579">
        <v>5750</v>
      </c>
    </row>
    <row r="1580" spans="1:4" x14ac:dyDescent="0.25">
      <c r="A1580" t="str">
        <f>T("   DE")</f>
        <v xml:space="preserve">   DE</v>
      </c>
      <c r="B1580" t="str">
        <f>T("   Allemagne")</f>
        <v xml:space="preserve">   Allemagne</v>
      </c>
      <c r="C1580">
        <v>4555642</v>
      </c>
      <c r="D1580">
        <v>1350</v>
      </c>
    </row>
    <row r="1581" spans="1:4" x14ac:dyDescent="0.25">
      <c r="A1581" t="str">
        <f>T("   DK")</f>
        <v xml:space="preserve">   DK</v>
      </c>
      <c r="B1581" t="str">
        <f>T("   Danemark")</f>
        <v xml:space="preserve">   Danemark</v>
      </c>
      <c r="C1581">
        <v>1600000</v>
      </c>
      <c r="D1581">
        <v>1100</v>
      </c>
    </row>
    <row r="1582" spans="1:4" x14ac:dyDescent="0.25">
      <c r="A1582" t="str">
        <f>T("   FR")</f>
        <v xml:space="preserve">   FR</v>
      </c>
      <c r="B1582" t="str">
        <f>T("   France")</f>
        <v xml:space="preserve">   France</v>
      </c>
      <c r="C1582">
        <v>37082823</v>
      </c>
      <c r="D1582">
        <v>47495</v>
      </c>
    </row>
    <row r="1583" spans="1:4" x14ac:dyDescent="0.25">
      <c r="A1583" t="str">
        <f>T("   GB")</f>
        <v xml:space="preserve">   GB</v>
      </c>
      <c r="B1583" t="str">
        <f>T("   Royaume-Uni")</f>
        <v xml:space="preserve">   Royaume-Uni</v>
      </c>
      <c r="C1583">
        <v>1187288</v>
      </c>
      <c r="D1583">
        <v>1320</v>
      </c>
    </row>
    <row r="1584" spans="1:4" x14ac:dyDescent="0.25">
      <c r="A1584" t="str">
        <f>T("   GH")</f>
        <v xml:space="preserve">   GH</v>
      </c>
      <c r="B1584" t="str">
        <f>T("   Ghana")</f>
        <v xml:space="preserve">   Ghana</v>
      </c>
      <c r="C1584">
        <v>2500000</v>
      </c>
      <c r="D1584">
        <v>900</v>
      </c>
    </row>
    <row r="1585" spans="1:4" x14ac:dyDescent="0.25">
      <c r="A1585" t="str">
        <f>T("   MA")</f>
        <v xml:space="preserve">   MA</v>
      </c>
      <c r="B1585" t="str">
        <f>T("   Maroc")</f>
        <v xml:space="preserve">   Maroc</v>
      </c>
      <c r="C1585">
        <v>18765704</v>
      </c>
      <c r="D1585">
        <v>8220</v>
      </c>
    </row>
    <row r="1586" spans="1:4" x14ac:dyDescent="0.25">
      <c r="A1586" t="str">
        <f>T("   ML")</f>
        <v xml:space="preserve">   ML</v>
      </c>
      <c r="B1586" t="str">
        <f>T("   Mali")</f>
        <v xml:space="preserve">   Mali</v>
      </c>
      <c r="C1586">
        <v>1000000</v>
      </c>
      <c r="D1586">
        <v>1000</v>
      </c>
    </row>
    <row r="1587" spans="1:4" x14ac:dyDescent="0.25">
      <c r="A1587" t="str">
        <f>T("   MU")</f>
        <v xml:space="preserve">   MU</v>
      </c>
      <c r="B1587" t="str">
        <f>T("   Maurice, île")</f>
        <v xml:space="preserve">   Maurice, île</v>
      </c>
      <c r="C1587">
        <v>1000000</v>
      </c>
      <c r="D1587">
        <v>5000</v>
      </c>
    </row>
    <row r="1588" spans="1:4" x14ac:dyDescent="0.25">
      <c r="A1588" t="str">
        <f>T("   NE")</f>
        <v xml:space="preserve">   NE</v>
      </c>
      <c r="B1588" t="str">
        <f>T("   Niger")</f>
        <v xml:space="preserve">   Niger</v>
      </c>
      <c r="C1588">
        <v>11697368</v>
      </c>
      <c r="D1588">
        <v>2252</v>
      </c>
    </row>
    <row r="1589" spans="1:4" x14ac:dyDescent="0.25">
      <c r="A1589" t="str">
        <f>T("   RW")</f>
        <v xml:space="preserve">   RW</v>
      </c>
      <c r="B1589" t="str">
        <f>T("   Rwanda")</f>
        <v xml:space="preserve">   Rwanda</v>
      </c>
      <c r="C1589">
        <v>10492000</v>
      </c>
      <c r="D1589">
        <v>4415</v>
      </c>
    </row>
    <row r="1590" spans="1:4" x14ac:dyDescent="0.25">
      <c r="A1590" t="str">
        <f>T("   SN")</f>
        <v xml:space="preserve">   SN</v>
      </c>
      <c r="B1590" t="str">
        <f>T("   Sénégal")</f>
        <v xml:space="preserve">   Sénégal</v>
      </c>
      <c r="C1590">
        <v>4780000</v>
      </c>
      <c r="D1590">
        <v>12000</v>
      </c>
    </row>
    <row r="1591" spans="1:4" x14ac:dyDescent="0.25">
      <c r="A1591" t="str">
        <f>T("   TG")</f>
        <v xml:space="preserve">   TG</v>
      </c>
      <c r="B1591" t="str">
        <f>T("   Togo")</f>
        <v xml:space="preserve">   Togo</v>
      </c>
      <c r="C1591">
        <v>1315000</v>
      </c>
      <c r="D1591">
        <v>900</v>
      </c>
    </row>
    <row r="1592" spans="1:4" x14ac:dyDescent="0.25">
      <c r="A1592" t="str">
        <f>T("   TN")</f>
        <v xml:space="preserve">   TN</v>
      </c>
      <c r="B1592" t="str">
        <f>T("   Tunisie")</f>
        <v xml:space="preserve">   Tunisie</v>
      </c>
      <c r="C1592">
        <v>600000</v>
      </c>
      <c r="D1592">
        <v>510</v>
      </c>
    </row>
    <row r="1593" spans="1:4" x14ac:dyDescent="0.25">
      <c r="A1593" t="str">
        <f>T("   US")</f>
        <v xml:space="preserve">   US</v>
      </c>
      <c r="B1593" t="str">
        <f>T("   Etats-Unis")</f>
        <v xml:space="preserve">   Etats-Unis</v>
      </c>
      <c r="C1593">
        <v>9933065</v>
      </c>
      <c r="D1593">
        <v>5581</v>
      </c>
    </row>
    <row r="1594" spans="1:4" x14ac:dyDescent="0.25">
      <c r="A1594" t="str">
        <f>T("940380")</f>
        <v>940380</v>
      </c>
      <c r="B1594" t="str">
        <f>T("Meubles en rotin, osier, bambou ou autres matières (sauf métal, bois et matières plastiques)")</f>
        <v>Meubles en rotin, osier, bambou ou autres matières (sauf métal, bois et matières plastiques)</v>
      </c>
    </row>
    <row r="1595" spans="1:4" x14ac:dyDescent="0.25">
      <c r="A1595" t="str">
        <f>T("   ZZZ_Monde")</f>
        <v xml:space="preserve">   ZZZ_Monde</v>
      </c>
      <c r="B1595" t="str">
        <f>T("   ZZZ_Monde")</f>
        <v xml:space="preserve">   ZZZ_Monde</v>
      </c>
      <c r="C1595">
        <v>30627075</v>
      </c>
      <c r="D1595">
        <v>4794</v>
      </c>
    </row>
    <row r="1596" spans="1:4" x14ac:dyDescent="0.25">
      <c r="A1596" t="str">
        <f>T("   CG")</f>
        <v xml:space="preserve">   CG</v>
      </c>
      <c r="B1596" t="str">
        <f>T("   Congo (Brazzaville)")</f>
        <v xml:space="preserve">   Congo (Brazzaville)</v>
      </c>
      <c r="C1596">
        <v>19920849</v>
      </c>
      <c r="D1596">
        <v>1500</v>
      </c>
    </row>
    <row r="1597" spans="1:4" x14ac:dyDescent="0.25">
      <c r="A1597" t="str">
        <f>T("   MR")</f>
        <v xml:space="preserve">   MR</v>
      </c>
      <c r="B1597" t="str">
        <f>T("   Mauritanie")</f>
        <v xml:space="preserve">   Mauritanie</v>
      </c>
      <c r="C1597">
        <v>1200000</v>
      </c>
      <c r="D1597">
        <v>2200</v>
      </c>
    </row>
    <row r="1598" spans="1:4" x14ac:dyDescent="0.25">
      <c r="A1598" t="str">
        <f>T("   TG")</f>
        <v xml:space="preserve">   TG</v>
      </c>
      <c r="B1598" t="str">
        <f>T("   Togo")</f>
        <v xml:space="preserve">   Togo</v>
      </c>
      <c r="C1598">
        <v>9506226</v>
      </c>
      <c r="D1598">
        <v>1094</v>
      </c>
    </row>
    <row r="1599" spans="1:4" x14ac:dyDescent="0.25">
      <c r="A1599" t="str">
        <f>T("940429")</f>
        <v>940429</v>
      </c>
      <c r="B1599" t="str">
        <f>T("Matelas à ressorts ou rembourrés, ou garnis intérieurement de matières autres que le caoutchouc alvéolaire ou les matières plastiques alvéolaires (sauf matelas à eau, matelas pneumatiques et oreillers)")</f>
        <v>Matelas à ressorts ou rembourrés, ou garnis intérieurement de matières autres que le caoutchouc alvéolaire ou les matières plastiques alvéolaires (sauf matelas à eau, matelas pneumatiques et oreillers)</v>
      </c>
    </row>
    <row r="1600" spans="1:4" x14ac:dyDescent="0.25">
      <c r="A1600" t="str">
        <f>T("   ZZZ_Monde")</f>
        <v xml:space="preserve">   ZZZ_Monde</v>
      </c>
      <c r="B1600" t="str">
        <f>T("   ZZZ_Monde")</f>
        <v xml:space="preserve">   ZZZ_Monde</v>
      </c>
      <c r="C1600">
        <v>9562882</v>
      </c>
      <c r="D1600">
        <v>3483</v>
      </c>
    </row>
    <row r="1601" spans="1:4" x14ac:dyDescent="0.25">
      <c r="A1601" t="str">
        <f>T("   BF")</f>
        <v xml:space="preserve">   BF</v>
      </c>
      <c r="B1601" t="str">
        <f>T("   Burkina Faso")</f>
        <v xml:space="preserve">   Burkina Faso</v>
      </c>
      <c r="C1601">
        <v>9562882</v>
      </c>
      <c r="D1601">
        <v>3483</v>
      </c>
    </row>
    <row r="1602" spans="1:4" x14ac:dyDescent="0.25">
      <c r="A1602" t="str">
        <f>T("940540")</f>
        <v>940540</v>
      </c>
      <c r="B1602" t="str">
        <f>T("Appareils d'éclairage électrique, n.d.a.")</f>
        <v>Appareils d'éclairage électrique, n.d.a.</v>
      </c>
    </row>
    <row r="1603" spans="1:4" x14ac:dyDescent="0.25">
      <c r="A1603" t="str">
        <f>T("   ZZZ_Monde")</f>
        <v xml:space="preserve">   ZZZ_Monde</v>
      </c>
      <c r="B1603" t="str">
        <f>T("   ZZZ_Monde")</f>
        <v xml:space="preserve">   ZZZ_Monde</v>
      </c>
      <c r="C1603">
        <v>4764603</v>
      </c>
      <c r="D1603">
        <v>14070</v>
      </c>
    </row>
    <row r="1604" spans="1:4" x14ac:dyDescent="0.25">
      <c r="A1604" t="str">
        <f>T("   BF")</f>
        <v xml:space="preserve">   BF</v>
      </c>
      <c r="B1604" t="str">
        <f>T("   Burkina Faso")</f>
        <v xml:space="preserve">   Burkina Faso</v>
      </c>
      <c r="C1604">
        <v>416318</v>
      </c>
      <c r="D1604">
        <v>70</v>
      </c>
    </row>
    <row r="1605" spans="1:4" x14ac:dyDescent="0.25">
      <c r="A1605" t="str">
        <f>T("   ZA")</f>
        <v xml:space="preserve">   ZA</v>
      </c>
      <c r="B1605" t="str">
        <f>T("   Afrique du Sud")</f>
        <v xml:space="preserve">   Afrique du Sud</v>
      </c>
      <c r="C1605">
        <v>4348285</v>
      </c>
      <c r="D1605">
        <v>14000</v>
      </c>
    </row>
    <row r="1606" spans="1:4" x14ac:dyDescent="0.25">
      <c r="A1606" t="str">
        <f>T("940560")</f>
        <v>940560</v>
      </c>
      <c r="B1606" t="str">
        <f>T("Lampes-réclames, enseignes lumineuses, plaques indicatrices lumineuses et articles simil., possédant une source d'éclairage fixée à demeure")</f>
        <v>Lampes-réclames, enseignes lumineuses, plaques indicatrices lumineuses et articles simil., possédant une source d'éclairage fixée à demeure</v>
      </c>
    </row>
    <row r="1607" spans="1:4" x14ac:dyDescent="0.25">
      <c r="A1607" t="str">
        <f>T("   ZZZ_Monde")</f>
        <v xml:space="preserve">   ZZZ_Monde</v>
      </c>
      <c r="B1607" t="str">
        <f>T("   ZZZ_Monde")</f>
        <v xml:space="preserve">   ZZZ_Monde</v>
      </c>
      <c r="C1607">
        <v>2250000</v>
      </c>
      <c r="D1607">
        <v>250</v>
      </c>
    </row>
    <row r="1608" spans="1:4" x14ac:dyDescent="0.25">
      <c r="A1608" t="str">
        <f>T("   LR")</f>
        <v xml:space="preserve">   LR</v>
      </c>
      <c r="B1608" t="str">
        <f>T("   Libéria")</f>
        <v xml:space="preserve">   Libéria</v>
      </c>
      <c r="C1608">
        <v>2250000</v>
      </c>
      <c r="D1608">
        <v>250</v>
      </c>
    </row>
    <row r="1609" spans="1:4" x14ac:dyDescent="0.25">
      <c r="A1609" t="str">
        <f>T("940600")</f>
        <v>940600</v>
      </c>
      <c r="B1609" t="str">
        <f>T("Constructions préfabriquées, même incomplètes ou non encore montées")</f>
        <v>Constructions préfabriquées, même incomplètes ou non encore montées</v>
      </c>
    </row>
    <row r="1610" spans="1:4" x14ac:dyDescent="0.25">
      <c r="A1610" t="str">
        <f>T("   ZZZ_Monde")</f>
        <v xml:space="preserve">   ZZZ_Monde</v>
      </c>
      <c r="B1610" t="str">
        <f>T("   ZZZ_Monde")</f>
        <v xml:space="preserve">   ZZZ_Monde</v>
      </c>
      <c r="C1610">
        <v>2922500</v>
      </c>
      <c r="D1610">
        <v>5100</v>
      </c>
    </row>
    <row r="1611" spans="1:4" x14ac:dyDescent="0.25">
      <c r="A1611" t="str">
        <f>T("   ML")</f>
        <v xml:space="preserve">   ML</v>
      </c>
      <c r="B1611" t="str">
        <f>T("   Mali")</f>
        <v xml:space="preserve">   Mali</v>
      </c>
      <c r="C1611">
        <v>2550000</v>
      </c>
      <c r="D1611">
        <v>4500</v>
      </c>
    </row>
    <row r="1612" spans="1:4" x14ac:dyDescent="0.25">
      <c r="A1612" t="str">
        <f>T("   TG")</f>
        <v xml:space="preserve">   TG</v>
      </c>
      <c r="B1612" t="str">
        <f>T("   Togo")</f>
        <v xml:space="preserve">   Togo</v>
      </c>
      <c r="C1612">
        <v>372500</v>
      </c>
      <c r="D1612">
        <v>600</v>
      </c>
    </row>
    <row r="1613" spans="1:4" x14ac:dyDescent="0.25">
      <c r="A1613" t="str">
        <f>T("950430")</f>
        <v>950430</v>
      </c>
      <c r="B1613" t="str">
        <f>T("JEUX AVEC ÉCRAN, FLIPPERS ET AUTRES AUTRES JEUX FONCTIONNANT PAR L'INTRODUCTION D'UNE PIÈCE DE MONNAIE, D'UN BILLET DE BANQUE, D'UNE CARTE BANCAIRE, D'UN JETON OU PAR D'AUTRES MOYENS DE PAIEMENT (À L'EXCL. DES JEUX DE QUILLES AUTOMATIQUES [P.EX. BOWLINGS]")</f>
        <v>JEUX AVEC ÉCRAN, FLIPPERS ET AUTRES AUTRES JEUX FONCTIONNANT PAR L'INTRODUCTION D'UNE PIÈCE DE MONNAIE, D'UN BILLET DE BANQUE, D'UNE CARTE BANCAIRE, D'UN JETON OU PAR D'AUTRES MOYENS DE PAIEMENT (À L'EXCL. DES JEUX DE QUILLES AUTOMATIQUES [P.EX. BOWLINGS]</v>
      </c>
    </row>
    <row r="1614" spans="1:4" x14ac:dyDescent="0.25">
      <c r="A1614" t="str">
        <f>T("   ZZZ_Monde")</f>
        <v xml:space="preserve">   ZZZ_Monde</v>
      </c>
      <c r="B1614" t="str">
        <f>T("   ZZZ_Monde")</f>
        <v xml:space="preserve">   ZZZ_Monde</v>
      </c>
      <c r="C1614">
        <v>4335540</v>
      </c>
      <c r="D1614">
        <v>2500</v>
      </c>
    </row>
    <row r="1615" spans="1:4" x14ac:dyDescent="0.25">
      <c r="A1615" t="str">
        <f>T("   CI")</f>
        <v xml:space="preserve">   CI</v>
      </c>
      <c r="B1615" t="str">
        <f>T("   Côte d'Ivoire")</f>
        <v xml:space="preserve">   Côte d'Ivoire</v>
      </c>
      <c r="C1615">
        <v>4335540</v>
      </c>
      <c r="D1615">
        <v>2500</v>
      </c>
    </row>
    <row r="1616" spans="1:4" x14ac:dyDescent="0.25">
      <c r="A1616" t="str">
        <f>T("970110")</f>
        <v>970110</v>
      </c>
      <c r="B1616" t="str">
        <f>T("Tableaux, p.ex. peintures à l'huile, aquarelles et pastels, et dessins, faits entièrement à la main (à l'excl. des dessins du n° 4906 et des articles manufacturés décorés à la main)")</f>
        <v>Tableaux, p.ex. peintures à l'huile, aquarelles et pastels, et dessins, faits entièrement à la main (à l'excl. des dessins du n° 4906 et des articles manufacturés décorés à la main)</v>
      </c>
    </row>
    <row r="1617" spans="1:4" x14ac:dyDescent="0.25">
      <c r="A1617" t="str">
        <f>T("   ZZZ_Monde")</f>
        <v xml:space="preserve">   ZZZ_Monde</v>
      </c>
      <c r="B1617" t="str">
        <f>T("   ZZZ_Monde")</f>
        <v xml:space="preserve">   ZZZ_Monde</v>
      </c>
      <c r="C1617">
        <v>1200000</v>
      </c>
      <c r="D1617">
        <v>550</v>
      </c>
    </row>
    <row r="1618" spans="1:4" x14ac:dyDescent="0.25">
      <c r="A1618" t="str">
        <f>T("   DE")</f>
        <v xml:space="preserve">   DE</v>
      </c>
      <c r="B1618" t="str">
        <f>T("   Allemagne")</f>
        <v xml:space="preserve">   Allemagne</v>
      </c>
      <c r="C1618">
        <v>1200000</v>
      </c>
      <c r="D1618">
        <v>550</v>
      </c>
    </row>
    <row r="1619" spans="1:4" x14ac:dyDescent="0.25">
      <c r="A1619" t="str">
        <f>T("970200")</f>
        <v>970200</v>
      </c>
      <c r="B1619" t="str">
        <f>T("Gravures, estampes et lithographies originales")</f>
        <v>Gravures, estampes et lithographies originales</v>
      </c>
    </row>
    <row r="1620" spans="1:4" x14ac:dyDescent="0.25">
      <c r="A1620" t="str">
        <f>T("   ZZZ_Monde")</f>
        <v xml:space="preserve">   ZZZ_Monde</v>
      </c>
      <c r="B1620" t="str">
        <f>T("   ZZZ_Monde")</f>
        <v xml:space="preserve">   ZZZ_Monde</v>
      </c>
      <c r="C1620">
        <v>500000</v>
      </c>
      <c r="D1620">
        <v>280</v>
      </c>
    </row>
    <row r="1621" spans="1:4" x14ac:dyDescent="0.25">
      <c r="A1621" t="str">
        <f>T("   DE")</f>
        <v xml:space="preserve">   DE</v>
      </c>
      <c r="B1621" t="str">
        <f>T("   Allemagne")</f>
        <v xml:space="preserve">   Allemagne</v>
      </c>
      <c r="C1621">
        <v>500000</v>
      </c>
      <c r="D1621">
        <v>280</v>
      </c>
    </row>
    <row r="1622" spans="1:4" x14ac:dyDescent="0.25">
      <c r="A1622" t="str">
        <f>T("970300")</f>
        <v>970300</v>
      </c>
      <c r="B1622" t="str">
        <f>T("Productions originales de l'art statuaire ou de la sculpture, en toutes matières")</f>
        <v>Productions originales de l'art statuaire ou de la sculpture, en toutes matières</v>
      </c>
    </row>
    <row r="1623" spans="1:4" x14ac:dyDescent="0.25">
      <c r="A1623" t="str">
        <f>T("   ZZZ_Monde")</f>
        <v xml:space="preserve">   ZZZ_Monde</v>
      </c>
      <c r="B1623" t="str">
        <f>T("   ZZZ_Monde")</f>
        <v xml:space="preserve">   ZZZ_Monde</v>
      </c>
      <c r="C1623">
        <v>4402350</v>
      </c>
      <c r="D1623">
        <v>25815</v>
      </c>
    </row>
    <row r="1624" spans="1:4" x14ac:dyDescent="0.25">
      <c r="A1624" t="str">
        <f>T("   DE")</f>
        <v xml:space="preserve">   DE</v>
      </c>
      <c r="B1624" t="str">
        <f>T("   Allemagne")</f>
        <v xml:space="preserve">   Allemagne</v>
      </c>
      <c r="C1624">
        <v>300000</v>
      </c>
      <c r="D1624">
        <v>170</v>
      </c>
    </row>
    <row r="1625" spans="1:4" x14ac:dyDescent="0.25">
      <c r="A1625" t="str">
        <f>T("   FR")</f>
        <v xml:space="preserve">   FR</v>
      </c>
      <c r="B1625" t="str">
        <f>T("   France")</f>
        <v xml:space="preserve">   France</v>
      </c>
      <c r="C1625">
        <v>600000</v>
      </c>
      <c r="D1625">
        <v>668</v>
      </c>
    </row>
    <row r="1626" spans="1:4" x14ac:dyDescent="0.25">
      <c r="A1626" t="str">
        <f>T("   IT")</f>
        <v xml:space="preserve">   IT</v>
      </c>
      <c r="B1626" t="str">
        <f>T("   Italie")</f>
        <v xml:space="preserve">   Italie</v>
      </c>
      <c r="C1626">
        <v>3502350</v>
      </c>
      <c r="D1626">
        <v>24977</v>
      </c>
    </row>
    <row r="1627" spans="1:4" s="1" customFormat="1" x14ac:dyDescent="0.25">
      <c r="A1627" s="1" t="str">
        <f>T("   ZZZ_Monde")</f>
        <v xml:space="preserve">   ZZZ_Monde</v>
      </c>
      <c r="B1627" s="1" t="str">
        <f>T("   ZZZ_Monde")</f>
        <v xml:space="preserve">   ZZZ_Monde</v>
      </c>
      <c r="C1627" s="1">
        <v>224300672277</v>
      </c>
      <c r="D1627" s="1">
        <v>1013613271.26</v>
      </c>
    </row>
    <row r="1629" spans="1:4" x14ac:dyDescent="0.25">
      <c r="A1629" t="s">
        <v>30</v>
      </c>
    </row>
  </sheetData>
  <pageMargins left="0.7" right="0.7" top="0.75" bottom="0.75" header="0.3" footer="0.3"/>
  <pageSetup paperSize="9" orientation="portrait" r:id="rId1"/>
</worksheet>
</file>